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Прил 1" sheetId="1" r:id="rId1"/>
    <sheet name="Прил 2" sheetId="2" r:id="rId2"/>
    <sheet name="Прил 3" sheetId="3" r:id="rId3"/>
    <sheet name="Прил 5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<sst xmlns="http://schemas.openxmlformats.org/spreadsheetml/2006/main" count="623" uniqueCount="90">
  <si>
    <t>Приложение № 1</t>
  </si>
  <si>
    <t xml:space="preserve">к муниципальной программе "Развитие сети образовательных </t>
  </si>
  <si>
    <t>Прогноз сводных показателей муниципальных заданий на оказание муниципальных услуг (выполнение работ)</t>
  </si>
  <si>
    <t>муниципальными учреждениями Селемджинского района по муниципальной программе</t>
  </si>
  <si>
    <t>Наименование    подпрограммы,услуги (работы), показателя объема услуги</t>
  </si>
  <si>
    <t>Еденица измерения</t>
  </si>
  <si>
    <t>Значение показателя объема услуги</t>
  </si>
  <si>
    <t>Расходы Селемджинского района на оказание муниципальной услуги (выполнение работ) тыс.рублей</t>
  </si>
  <si>
    <t>1 год</t>
  </si>
  <si>
    <t>2 год</t>
  </si>
  <si>
    <t>3 год</t>
  </si>
  <si>
    <t>Подпрограмма 1 "Развитие дошкольного образования"</t>
  </si>
  <si>
    <t>Финансирование расходов, связанных с обеспечением функционирования муниципальных образовательных организаций, реализующих программы дошкольного образования</t>
  </si>
  <si>
    <t>Компенсация расходов учреждения по ежедневной плате, взимаемой с родителей(законных представителей) за содержание ребенка в муниципальных образовательных учреждениях, реализующих основную общеобразовательную программу дошкольного образования для льготных категорий семей</t>
  </si>
  <si>
    <t>Финансирование расходов, связанных с обеспечением функционирования муниципальных образовательных организаций, реализующих программы общего образования</t>
  </si>
  <si>
    <t>Осуществление социальной поддержки педагогических работников (льготы)</t>
  </si>
  <si>
    <t>Осуществление мер по формированию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лицне имеющих нарушений развития("Доступная среда")</t>
  </si>
  <si>
    <t>Подпрограмма 3 "Развитие дополнительного образования"</t>
  </si>
  <si>
    <t>Финансирование расходов, связанных с обеспечением функционирования муниципальных образовательных организаций, реализующих программы дополнительного образования</t>
  </si>
  <si>
    <t>Проведение районных мероприятий с детьми</t>
  </si>
  <si>
    <t>Софинансирование строительства нового здания школы на 150 мест в п. Экимчан</t>
  </si>
  <si>
    <t>Изготовление проектно-сметной документации на строительство школы в п. Экимчан</t>
  </si>
  <si>
    <t>Изготовление проектно-сметной документации на капитальный ремонт МБОУ "Коболдинская СОШ"</t>
  </si>
  <si>
    <t>Капитальный ремонт МБОУ "Коболдинская СОШ"</t>
  </si>
  <si>
    <t>Капитальный ремонт МБОУ "Исинская СОШ"</t>
  </si>
  <si>
    <t>Ремонт отмостки здания МБОУ "Февральская СОШ"</t>
  </si>
  <si>
    <t>Капитальный ремонт кровли МБОУ "Токурская СОШ"</t>
  </si>
  <si>
    <t>Установка и обслуживание систем видеонаблюдения</t>
  </si>
  <si>
    <t>Замена кабеля пожарной сигнализации в соответствии со СП 5.12130.2009</t>
  </si>
  <si>
    <t>Подключение "тревожных кнопок" охранной сигнализации к пульту в дежурной части органов полиции</t>
  </si>
  <si>
    <t>Приобретение пакета "Первая помощь" и электронной системы"Образование" для образовательных организаций района</t>
  </si>
  <si>
    <t>Установка ограждения в МБОУ "Февральская СОШ"</t>
  </si>
  <si>
    <t>Обеспечение молоком (заменяющими его продуктами) обучающихся на ступени начального общего образования в общеобразовательных учреждениях, учащихся для льготных категорий семей</t>
  </si>
  <si>
    <t>Обеспечение питанием обучающихся начальных классов в образовательных учреждениях</t>
  </si>
  <si>
    <t>Повышение квалификации, профессиональная переподготовка руководителей образовательных учреждениий и педагогов</t>
  </si>
  <si>
    <t>Социальная поддержка детей-сирот и детей, оставшихся без попечения родителей</t>
  </si>
  <si>
    <t>Приложение № 2</t>
  </si>
  <si>
    <t>Ресурсное обеспечение реализации муниципальной прграммы за счет средств бюджета Селемджинского района</t>
  </si>
  <si>
    <t>Статус</t>
  </si>
  <si>
    <t>Наименование муниципальной программы, подпрограммы, основного мероприятия</t>
  </si>
  <si>
    <t>Координатор программы, подпрограммы, участники муниципальной программы</t>
  </si>
  <si>
    <t>Код бюджетной классификации</t>
  </si>
  <si>
    <t>ГРБС</t>
  </si>
  <si>
    <t>РзПР</t>
  </si>
  <si>
    <t>ЦСР</t>
  </si>
  <si>
    <t>ВР</t>
  </si>
  <si>
    <t>Всего</t>
  </si>
  <si>
    <t>1 год реализации</t>
  </si>
  <si>
    <t>2 год реализации</t>
  </si>
  <si>
    <t>3 год реализации</t>
  </si>
  <si>
    <t>4 год реализации</t>
  </si>
  <si>
    <t>5 год реализации</t>
  </si>
  <si>
    <t>Развитие сети образовательных организаций Селемджинского района на период 2016-2020 гг.."</t>
  </si>
  <si>
    <t>Отдел образования, образовательные организации</t>
  </si>
  <si>
    <t>Проведение районных мероприятий</t>
  </si>
  <si>
    <t>Отдел образования</t>
  </si>
  <si>
    <t>Приложение № 3</t>
  </si>
  <si>
    <t>Источники финансирования</t>
  </si>
  <si>
    <t xml:space="preserve">Всего </t>
  </si>
  <si>
    <t>Федеральный бюджет</t>
  </si>
  <si>
    <t>Областной бюджет</t>
  </si>
  <si>
    <t>Районныйбюджет</t>
  </si>
  <si>
    <t>Территориальные внебюджетные фонды</t>
  </si>
  <si>
    <t>Юридические лица</t>
  </si>
  <si>
    <t>Расходы (тыс.руб.), годы</t>
  </si>
  <si>
    <t>Районный бюджет</t>
  </si>
  <si>
    <t>Оценка расходов (тыс.руб.)</t>
  </si>
  <si>
    <t>5 год</t>
  </si>
  <si>
    <t>4 год</t>
  </si>
  <si>
    <t>Значение планового показателя по годам реализации</t>
  </si>
  <si>
    <t>№ п/п</t>
  </si>
  <si>
    <t>Коэффициенты значимости основных мероприятий муниципальной прграммы</t>
  </si>
  <si>
    <t>Приложение № 5</t>
  </si>
  <si>
    <t>организаций Селемджинского района на период 2016-2020 гг."</t>
  </si>
  <si>
    <t>Подпрограмма 2 "Развитие общего образования"</t>
  </si>
  <si>
    <t>Финансирование расходов, необходимых на реализацию основной общеобразовательной программы дошкольного образования детей</t>
  </si>
  <si>
    <t>Финансирование расходов, необходимых на реализацию основной общеобразовательной программы общего образования (субвенция з/плата)</t>
  </si>
  <si>
    <t>Осуществление мер по формированию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 не имеющих нарушений развития("Доступная среда")</t>
  </si>
  <si>
    <t>Обеспечение мер пожарнойи санитарной безопасности в образовательных учреждениях</t>
  </si>
  <si>
    <t>Приобретение оборудования и мебели для общеобразовательных учреждений</t>
  </si>
  <si>
    <t>Организация отдыха детей в возрасте от 7 до 17 лет в лагерях с дневным пребыванием, загородных оздоровительных лагерях, сменах профильных лагерей в соответствии с порядком проведения смен профильных лагерей, лагерей с дневным пребыванием, загородных оздоровительных лагерей</t>
  </si>
  <si>
    <t>Подпрограмма 4 "Организация отдыха, оздоровления, занятости детей и подростков"</t>
  </si>
  <si>
    <t>Обеспечение мер пожарной и санитарной безопасности в образовательных учреждениях</t>
  </si>
  <si>
    <t xml:space="preserve">Выплата компенсации части родительской платы, взимаемой с родителей (законных представителей) за присмотр и уход за детьми, осваивающими образовательные программы дошкольного образования </t>
  </si>
  <si>
    <t>Предоставление общедоступного и бесплатного дошкольного образования детям, создание условий для осуществления присмотра и ухода за детьми</t>
  </si>
  <si>
    <t>Количество воспитанников</t>
  </si>
  <si>
    <t>Предоставление общедоступног и бесплатного начального общего, основного общего и среднего общего образования обучающимся</t>
  </si>
  <si>
    <t>Среднегодовое число детей, получающих начальное общее, основное общее, среднее (полное) общее образование</t>
  </si>
  <si>
    <t>чел.</t>
  </si>
  <si>
    <t xml:space="preserve">Выплата компенсации части родительской платы, взимаемой с родителей (законных представителей) за присмотр и уход за детьми, осваивающими образовательные программы общего образования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</si>
</sst>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6" fillId="0" borderId="11" xfId="0" applyFont="1" applyBorder="1" applyAlignment="1">
      <alignment wrapText="1"/>
    </xf>
    <xf numFmtId="0" fontId="41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164" fontId="41" fillId="0" borderId="1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41" fillId="0" borderId="15" xfId="0" applyNumberFormat="1" applyFont="1" applyFill="1" applyBorder="1" applyAlignment="1">
      <alignment horizontal="center"/>
    </xf>
    <xf numFmtId="164" fontId="41" fillId="0" borderId="15" xfId="0" applyNumberFormat="1" applyFont="1" applyFill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/>
    </xf>
    <xf numFmtId="0" fontId="46" fillId="0" borderId="14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41" fillId="0" borderId="15" xfId="0" applyNumberFormat="1" applyFont="1" applyFill="1" applyBorder="1" applyAlignment="1">
      <alignment horizontal="center" vertical="center" wrapText="1"/>
    </xf>
    <xf numFmtId="165" fontId="41" fillId="0" borderId="10" xfId="0" applyNumberFormat="1" applyFont="1" applyBorder="1" applyAlignment="1">
      <alignment/>
    </xf>
    <xf numFmtId="164" fontId="41" fillId="0" borderId="16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0" fontId="41" fillId="0" borderId="14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3"/>
  <sheetViews>
    <sheetView zoomScalePageLayoutView="0" workbookViewId="0" topLeftCell="A68">
      <selection activeCell="M72" sqref="M72:N150"/>
    </sheetView>
  </sheetViews>
  <sheetFormatPr defaultColWidth="9.140625" defaultRowHeight="15"/>
  <cols>
    <col min="1" max="1" width="22.00390625" style="0" customWidth="1"/>
    <col min="2" max="2" width="10.421875" style="0" customWidth="1"/>
    <col min="3" max="3" width="10.7109375" style="0" customWidth="1"/>
    <col min="4" max="4" width="10.57421875" style="0" customWidth="1"/>
    <col min="5" max="5" width="9.8515625" style="0" customWidth="1"/>
    <col min="6" max="6" width="10.8515625" style="0" customWidth="1"/>
    <col min="7" max="7" width="10.28125" style="0" customWidth="1"/>
    <col min="8" max="8" width="12.00390625" style="0" customWidth="1"/>
    <col min="9" max="9" width="11.00390625" style="0" customWidth="1"/>
    <col min="10" max="10" width="10.8515625" style="0" customWidth="1"/>
    <col min="11" max="11" width="11.7109375" style="0" customWidth="1"/>
    <col min="12" max="12" width="11.28125" style="0" customWidth="1"/>
  </cols>
  <sheetData>
    <row r="1" spans="1:12" ht="15">
      <c r="A1" s="1"/>
      <c r="B1" s="1"/>
      <c r="C1" s="1"/>
      <c r="D1" s="8"/>
      <c r="E1" s="8"/>
      <c r="F1" s="8"/>
      <c r="G1" s="8"/>
      <c r="H1" s="41" t="s">
        <v>0</v>
      </c>
      <c r="I1" s="41"/>
      <c r="J1" s="41"/>
      <c r="K1" s="41"/>
      <c r="L1" s="8"/>
    </row>
    <row r="2" spans="1:12" ht="15">
      <c r="A2" s="1"/>
      <c r="B2" s="1"/>
      <c r="C2" s="1"/>
      <c r="D2" s="8"/>
      <c r="E2" s="8"/>
      <c r="F2" s="8"/>
      <c r="G2" s="54" t="s">
        <v>1</v>
      </c>
      <c r="H2" s="54"/>
      <c r="I2" s="54"/>
      <c r="J2" s="54"/>
      <c r="K2" s="54"/>
      <c r="L2" s="54"/>
    </row>
    <row r="3" spans="1:12" ht="15">
      <c r="A3" s="1"/>
      <c r="B3" s="1"/>
      <c r="C3" s="1"/>
      <c r="D3" s="8"/>
      <c r="E3" s="8"/>
      <c r="F3" s="8"/>
      <c r="G3" s="54" t="s">
        <v>73</v>
      </c>
      <c r="H3" s="54"/>
      <c r="I3" s="54"/>
      <c r="J3" s="54"/>
      <c r="K3" s="54"/>
      <c r="L3" s="54"/>
    </row>
    <row r="4" spans="1:12" ht="15">
      <c r="A4" s="1"/>
      <c r="B4" s="1"/>
      <c r="C4" s="1"/>
      <c r="D4" s="2"/>
      <c r="E4" s="18"/>
      <c r="F4" s="18"/>
      <c r="G4" s="2"/>
      <c r="H4" s="2"/>
      <c r="I4" s="18"/>
      <c r="J4" s="18"/>
      <c r="K4" s="2"/>
      <c r="L4" s="2"/>
    </row>
    <row r="5" spans="1:12" ht="16.5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6.5">
      <c r="A6" s="55" t="s">
        <v>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45" customHeight="1">
      <c r="A8" s="56" t="s">
        <v>4</v>
      </c>
      <c r="B8" s="56" t="s">
        <v>5</v>
      </c>
      <c r="C8" s="58" t="s">
        <v>6</v>
      </c>
      <c r="D8" s="59"/>
      <c r="E8" s="59"/>
      <c r="F8" s="59"/>
      <c r="G8" s="60"/>
      <c r="H8" s="61" t="s">
        <v>7</v>
      </c>
      <c r="I8" s="62"/>
      <c r="J8" s="62"/>
      <c r="K8" s="62"/>
      <c r="L8" s="63"/>
    </row>
    <row r="9" spans="1:12" ht="28.5" customHeight="1">
      <c r="A9" s="57"/>
      <c r="B9" s="57"/>
      <c r="C9" s="4" t="s">
        <v>8</v>
      </c>
      <c r="D9" s="4" t="s">
        <v>9</v>
      </c>
      <c r="E9" s="4" t="s">
        <v>10</v>
      </c>
      <c r="F9" s="4" t="s">
        <v>68</v>
      </c>
      <c r="G9" s="4" t="s">
        <v>67</v>
      </c>
      <c r="H9" s="4" t="s">
        <v>8</v>
      </c>
      <c r="I9" s="4" t="s">
        <v>9</v>
      </c>
      <c r="J9" s="4" t="s">
        <v>10</v>
      </c>
      <c r="K9" s="4" t="s">
        <v>68</v>
      </c>
      <c r="L9" s="4" t="s">
        <v>67</v>
      </c>
    </row>
    <row r="10" spans="1:12" ht="12" customHeight="1">
      <c r="A10" s="6">
        <v>1</v>
      </c>
      <c r="B10" s="6">
        <v>2</v>
      </c>
      <c r="C10" s="6">
        <v>3</v>
      </c>
      <c r="D10" s="6">
        <v>4</v>
      </c>
      <c r="E10" s="6"/>
      <c r="F10" s="6"/>
      <c r="G10" s="6">
        <v>5</v>
      </c>
      <c r="H10" s="6">
        <v>6</v>
      </c>
      <c r="I10" s="6"/>
      <c r="J10" s="6"/>
      <c r="K10" s="6">
        <v>7</v>
      </c>
      <c r="L10" s="6">
        <v>8</v>
      </c>
    </row>
    <row r="11" spans="1:12" ht="18" customHeight="1">
      <c r="A11" s="42" t="s">
        <v>11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4"/>
    </row>
    <row r="12" spans="1:12" ht="18" customHeight="1">
      <c r="A12" s="14" t="s">
        <v>12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</row>
    <row r="13" spans="1:13" ht="88.5" customHeight="1">
      <c r="A13" s="7" t="s">
        <v>84</v>
      </c>
      <c r="B13" s="32" t="s">
        <v>88</v>
      </c>
      <c r="C13" s="32">
        <f>358</f>
        <v>358</v>
      </c>
      <c r="D13" s="32">
        <f>365</f>
        <v>365</v>
      </c>
      <c r="E13" s="32">
        <f>378</f>
        <v>378</v>
      </c>
      <c r="F13" s="32">
        <f>378</f>
        <v>378</v>
      </c>
      <c r="G13" s="32">
        <f>378</f>
        <v>378</v>
      </c>
      <c r="H13" s="22">
        <f>'Прил 2'!I12</f>
        <v>33547.2</v>
      </c>
      <c r="I13" s="22">
        <f>'Прил 2'!J12</f>
        <v>35895.504</v>
      </c>
      <c r="J13" s="22">
        <f>'Прил 2'!K12</f>
        <v>38408.189280000006</v>
      </c>
      <c r="K13" s="22">
        <f>'Прил 2'!L12</f>
        <v>38408.189280000006</v>
      </c>
      <c r="L13" s="22">
        <f>'Прил 2'!M12</f>
        <v>38408.189280000006</v>
      </c>
      <c r="M13" s="37"/>
    </row>
    <row r="14" spans="1:12" ht="30.75" customHeight="1">
      <c r="A14" s="7" t="s">
        <v>85</v>
      </c>
      <c r="B14" s="32" t="str">
        <f>B13</f>
        <v>чел.</v>
      </c>
      <c r="C14" s="32">
        <f aca="true" t="shared" si="0" ref="C14:L14">C13</f>
        <v>358</v>
      </c>
      <c r="D14" s="32">
        <f t="shared" si="0"/>
        <v>365</v>
      </c>
      <c r="E14" s="32">
        <f t="shared" si="0"/>
        <v>378</v>
      </c>
      <c r="F14" s="32">
        <f t="shared" si="0"/>
        <v>378</v>
      </c>
      <c r="G14" s="32">
        <f t="shared" si="0"/>
        <v>378</v>
      </c>
      <c r="H14" s="22">
        <f t="shared" si="0"/>
        <v>33547.2</v>
      </c>
      <c r="I14" s="22">
        <f t="shared" si="0"/>
        <v>35895.504</v>
      </c>
      <c r="J14" s="22">
        <f t="shared" si="0"/>
        <v>38408.189280000006</v>
      </c>
      <c r="K14" s="22">
        <f t="shared" si="0"/>
        <v>38408.189280000006</v>
      </c>
      <c r="L14" s="22">
        <f t="shared" si="0"/>
        <v>38408.189280000006</v>
      </c>
    </row>
    <row r="15" spans="1:12" ht="19.5" customHeight="1">
      <c r="A15" s="48" t="s">
        <v>75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</row>
    <row r="16" spans="1:12" ht="90" customHeight="1">
      <c r="A16" s="7" t="s">
        <v>84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26.25">
      <c r="A17" s="7" t="s">
        <v>85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27.75" customHeight="1">
      <c r="A18" s="45" t="s">
        <v>13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7"/>
    </row>
    <row r="19" spans="1:12" ht="89.25" customHeight="1">
      <c r="A19" s="7" t="s">
        <v>84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26.25">
      <c r="A20" s="7" t="s">
        <v>85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30" customHeight="1">
      <c r="A21" s="45" t="s">
        <v>83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7"/>
    </row>
    <row r="22" spans="1:12" ht="91.5" customHeight="1">
      <c r="A22" s="7" t="s">
        <v>84</v>
      </c>
      <c r="B22" s="32" t="str">
        <f>B13</f>
        <v>чел.</v>
      </c>
      <c r="C22" s="32">
        <f>C13</f>
        <v>358</v>
      </c>
      <c r="D22" s="32">
        <f>D13</f>
        <v>365</v>
      </c>
      <c r="E22" s="32">
        <f>E13</f>
        <v>378</v>
      </c>
      <c r="F22" s="32">
        <f>F13</f>
        <v>378</v>
      </c>
      <c r="G22" s="32">
        <f>G13</f>
        <v>378</v>
      </c>
      <c r="H22" s="22">
        <f>'Прил 2'!I15</f>
        <v>1472.3999999999999</v>
      </c>
      <c r="I22" s="22">
        <f>'Прил 2'!J15</f>
        <v>1575.4679999999998</v>
      </c>
      <c r="J22" s="22">
        <f>'Прил 2'!K15</f>
        <v>1685.75076</v>
      </c>
      <c r="K22" s="22">
        <f>'Прил 2'!L15</f>
        <v>1685.75076</v>
      </c>
      <c r="L22" s="22">
        <f>'Прил 2'!M15</f>
        <v>1685.75076</v>
      </c>
    </row>
    <row r="23" spans="1:12" ht="26.25">
      <c r="A23" s="7" t="s">
        <v>85</v>
      </c>
      <c r="B23" s="32" t="str">
        <f>B22</f>
        <v>чел.</v>
      </c>
      <c r="C23" s="32">
        <f>C22</f>
        <v>358</v>
      </c>
      <c r="D23" s="32">
        <f>D22</f>
        <v>365</v>
      </c>
      <c r="E23" s="32">
        <f>E22</f>
        <v>378</v>
      </c>
      <c r="F23" s="32">
        <f>F22</f>
        <v>378</v>
      </c>
      <c r="G23" s="32">
        <f>G22</f>
        <v>378</v>
      </c>
      <c r="H23" s="22">
        <f>H22</f>
        <v>1472.3999999999999</v>
      </c>
      <c r="I23" s="22">
        <f>I22</f>
        <v>1575.4679999999998</v>
      </c>
      <c r="J23" s="22">
        <f>J22</f>
        <v>1685.75076</v>
      </c>
      <c r="K23" s="22">
        <f>K22</f>
        <v>1685.75076</v>
      </c>
      <c r="L23" s="22">
        <f>L22</f>
        <v>1685.75076</v>
      </c>
    </row>
    <row r="24" spans="1:12" ht="25.5" customHeight="1">
      <c r="A24" s="51" t="s">
        <v>82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3"/>
    </row>
    <row r="25" spans="1:12" ht="87.75" customHeight="1">
      <c r="A25" s="7" t="s">
        <v>84</v>
      </c>
      <c r="B25" s="4" t="str">
        <f>B22</f>
        <v>чел.</v>
      </c>
      <c r="C25" s="4">
        <f>C22</f>
        <v>358</v>
      </c>
      <c r="D25" s="4">
        <f>D22</f>
        <v>365</v>
      </c>
      <c r="E25" s="4">
        <f>E22</f>
        <v>378</v>
      </c>
      <c r="F25" s="4">
        <f>F22</f>
        <v>378</v>
      </c>
      <c r="G25" s="4">
        <f>G22</f>
        <v>378</v>
      </c>
      <c r="H25" s="34">
        <f>'Прил 2'!I16</f>
        <v>500</v>
      </c>
      <c r="I25" s="34">
        <f>'Прил 2'!J16</f>
        <v>535</v>
      </c>
      <c r="J25" s="34">
        <f>'Прил 2'!K16</f>
        <v>572.45</v>
      </c>
      <c r="K25" s="34">
        <f>'Прил 2'!L16</f>
        <v>572.45</v>
      </c>
      <c r="L25" s="34">
        <f>'Прил 2'!M16</f>
        <v>572.45</v>
      </c>
    </row>
    <row r="26" spans="1:12" ht="25.5" customHeight="1">
      <c r="A26" s="7" t="s">
        <v>85</v>
      </c>
      <c r="B26" s="4" t="str">
        <f>B25</f>
        <v>чел.</v>
      </c>
      <c r="C26" s="4">
        <f>C25</f>
        <v>358</v>
      </c>
      <c r="D26" s="4">
        <f>D25</f>
        <v>365</v>
      </c>
      <c r="E26" s="4">
        <f>E25</f>
        <v>378</v>
      </c>
      <c r="F26" s="4">
        <f>F25</f>
        <v>378</v>
      </c>
      <c r="G26" s="4">
        <f>G25</f>
        <v>378</v>
      </c>
      <c r="H26" s="34">
        <f>H25</f>
        <v>500</v>
      </c>
      <c r="I26" s="34">
        <f>I25</f>
        <v>535</v>
      </c>
      <c r="J26" s="34">
        <f>J25</f>
        <v>572.45</v>
      </c>
      <c r="K26" s="34">
        <f>K25</f>
        <v>572.45</v>
      </c>
      <c r="L26" s="34">
        <f>L25</f>
        <v>572.45</v>
      </c>
    </row>
    <row r="27" spans="1:12" ht="24" customHeight="1">
      <c r="A27" s="51" t="s">
        <v>27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3"/>
    </row>
    <row r="28" spans="1:12" ht="87.75" customHeight="1">
      <c r="A28" s="7" t="s">
        <v>84</v>
      </c>
      <c r="B28" s="4" t="str">
        <f>B25</f>
        <v>чел.</v>
      </c>
      <c r="C28" s="4">
        <f>C25</f>
        <v>358</v>
      </c>
      <c r="D28" s="4">
        <f>D25</f>
        <v>365</v>
      </c>
      <c r="E28" s="4">
        <f>E25</f>
        <v>378</v>
      </c>
      <c r="F28" s="4">
        <f>F25</f>
        <v>378</v>
      </c>
      <c r="G28" s="4">
        <f>G25</f>
        <v>378</v>
      </c>
      <c r="H28" s="33">
        <f>'Прил 2'!I17</f>
        <v>200</v>
      </c>
      <c r="I28" s="33">
        <f>'Прил 2'!J17</f>
        <v>214</v>
      </c>
      <c r="J28" s="33">
        <f>'Прил 2'!K17</f>
        <v>228.98000000000002</v>
      </c>
      <c r="K28" s="33">
        <f>'Прил 2'!L17</f>
        <v>228.98000000000002</v>
      </c>
      <c r="L28" s="33">
        <f>'Прил 2'!M17</f>
        <v>228.98000000000002</v>
      </c>
    </row>
    <row r="29" spans="1:12" ht="24" customHeight="1">
      <c r="A29" s="7" t="s">
        <v>85</v>
      </c>
      <c r="B29" s="4" t="str">
        <f>B28</f>
        <v>чел.</v>
      </c>
      <c r="C29" s="4">
        <f>C28</f>
        <v>358</v>
      </c>
      <c r="D29" s="4">
        <f>D28</f>
        <v>365</v>
      </c>
      <c r="E29" s="4">
        <f>E28</f>
        <v>378</v>
      </c>
      <c r="F29" s="4">
        <f>F28</f>
        <v>378</v>
      </c>
      <c r="G29" s="4">
        <f>G28</f>
        <v>378</v>
      </c>
      <c r="H29" s="33">
        <f>H28</f>
        <v>200</v>
      </c>
      <c r="I29" s="33">
        <f>I28</f>
        <v>214</v>
      </c>
      <c r="J29" s="33">
        <f>J28</f>
        <v>228.98000000000002</v>
      </c>
      <c r="K29" s="33">
        <f>K28</f>
        <v>228.98000000000002</v>
      </c>
      <c r="L29" s="33">
        <f>L28</f>
        <v>228.98000000000002</v>
      </c>
    </row>
    <row r="30" spans="1:12" ht="21.75" customHeight="1">
      <c r="A30" s="51" t="s">
        <v>79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3"/>
    </row>
    <row r="31" spans="1:12" ht="90" customHeight="1">
      <c r="A31" s="7" t="s">
        <v>84</v>
      </c>
      <c r="B31" s="4" t="str">
        <f>B28</f>
        <v>чел.</v>
      </c>
      <c r="C31" s="4">
        <f>C28</f>
        <v>358</v>
      </c>
      <c r="D31" s="4">
        <f>D28</f>
        <v>365</v>
      </c>
      <c r="E31" s="4">
        <f>E28</f>
        <v>378</v>
      </c>
      <c r="F31" s="4">
        <f>F28</f>
        <v>378</v>
      </c>
      <c r="G31" s="4">
        <f>G28</f>
        <v>378</v>
      </c>
      <c r="H31" s="33">
        <f>'Прил 2'!I18</f>
        <v>177.10000000000002</v>
      </c>
      <c r="I31" s="33">
        <f>'Прил 2'!J18</f>
        <v>489.49700000000007</v>
      </c>
      <c r="J31" s="33">
        <f>'Прил 2'!K18</f>
        <v>523.76179</v>
      </c>
      <c r="K31" s="33">
        <f>'Прил 2'!L18</f>
        <v>523.76179</v>
      </c>
      <c r="L31" s="33">
        <f>'Прил 2'!M18</f>
        <v>523.76179</v>
      </c>
    </row>
    <row r="32" spans="1:12" ht="27.75" customHeight="1">
      <c r="A32" s="7" t="s">
        <v>85</v>
      </c>
      <c r="B32" s="4" t="str">
        <f>B31</f>
        <v>чел.</v>
      </c>
      <c r="C32" s="4">
        <f>C31</f>
        <v>358</v>
      </c>
      <c r="D32" s="4">
        <f>D31</f>
        <v>365</v>
      </c>
      <c r="E32" s="4">
        <f>E31</f>
        <v>378</v>
      </c>
      <c r="F32" s="4">
        <f>F31</f>
        <v>378</v>
      </c>
      <c r="G32" s="4">
        <f>G31</f>
        <v>378</v>
      </c>
      <c r="H32" s="33">
        <f>H31</f>
        <v>177.10000000000002</v>
      </c>
      <c r="I32" s="33">
        <f>I31</f>
        <v>489.49700000000007</v>
      </c>
      <c r="J32" s="33">
        <f>J31</f>
        <v>523.76179</v>
      </c>
      <c r="K32" s="33">
        <f>K31</f>
        <v>523.76179</v>
      </c>
      <c r="L32" s="33">
        <f>L31</f>
        <v>523.76179</v>
      </c>
    </row>
    <row r="33" spans="1:12" ht="22.5" customHeight="1">
      <c r="A33" s="51" t="s">
        <v>28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3"/>
    </row>
    <row r="34" spans="1:12" ht="87.75" customHeight="1">
      <c r="A34" s="7" t="s">
        <v>84</v>
      </c>
      <c r="B34" s="4" t="str">
        <f>B31</f>
        <v>чел.</v>
      </c>
      <c r="C34" s="4">
        <f>C31</f>
        <v>358</v>
      </c>
      <c r="D34" s="4">
        <f>D31</f>
        <v>365</v>
      </c>
      <c r="E34" s="4">
        <f>E31</f>
        <v>378</v>
      </c>
      <c r="F34" s="4">
        <f>F31</f>
        <v>378</v>
      </c>
      <c r="G34" s="4">
        <f>G31</f>
        <v>378</v>
      </c>
      <c r="H34" s="33">
        <f>'Прил 2'!I19</f>
        <v>100</v>
      </c>
      <c r="I34" s="33">
        <f>'Прил 2'!J19</f>
        <v>107</v>
      </c>
      <c r="J34" s="33">
        <f>'Прил 2'!K19</f>
        <v>114.49000000000001</v>
      </c>
      <c r="K34" s="33">
        <f>'Прил 2'!L19</f>
        <v>114.49000000000001</v>
      </c>
      <c r="L34" s="33">
        <f>'Прил 2'!M19</f>
        <v>114.49000000000001</v>
      </c>
    </row>
    <row r="35" spans="1:12" ht="30" customHeight="1">
      <c r="A35" s="7" t="s">
        <v>85</v>
      </c>
      <c r="B35" s="4" t="str">
        <f>B34</f>
        <v>чел.</v>
      </c>
      <c r="C35" s="4">
        <f>C34</f>
        <v>358</v>
      </c>
      <c r="D35" s="4">
        <f>D34</f>
        <v>365</v>
      </c>
      <c r="E35" s="4">
        <f>E34</f>
        <v>378</v>
      </c>
      <c r="F35" s="4">
        <f>F34</f>
        <v>378</v>
      </c>
      <c r="G35" s="4">
        <f>G34</f>
        <v>378</v>
      </c>
      <c r="H35" s="33">
        <f>H34</f>
        <v>100</v>
      </c>
      <c r="I35" s="33">
        <f>I34</f>
        <v>107</v>
      </c>
      <c r="J35" s="33">
        <f>J34</f>
        <v>114.49000000000001</v>
      </c>
      <c r="K35" s="33">
        <f>K34</f>
        <v>114.49000000000001</v>
      </c>
      <c r="L35" s="33">
        <f>L34</f>
        <v>114.49000000000001</v>
      </c>
    </row>
    <row r="36" spans="1:12" ht="21.75" customHeight="1">
      <c r="A36" s="51" t="s">
        <v>29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3"/>
    </row>
    <row r="37" spans="1:12" ht="91.5" customHeight="1">
      <c r="A37" s="7" t="s">
        <v>84</v>
      </c>
      <c r="B37" s="4" t="str">
        <f>B34</f>
        <v>чел.</v>
      </c>
      <c r="C37" s="4">
        <f>C34</f>
        <v>358</v>
      </c>
      <c r="D37" s="4">
        <f>D34</f>
        <v>365</v>
      </c>
      <c r="E37" s="4">
        <f>E34</f>
        <v>378</v>
      </c>
      <c r="F37" s="4">
        <f>F34</f>
        <v>378</v>
      </c>
      <c r="G37" s="4">
        <f>G34</f>
        <v>378</v>
      </c>
      <c r="H37" s="33">
        <f>'Прил 2'!I20</f>
        <v>100</v>
      </c>
      <c r="I37" s="33">
        <f>'Прил 2'!J20</f>
        <v>107</v>
      </c>
      <c r="J37" s="33">
        <f>'Прил 2'!K20</f>
        <v>114.49000000000001</v>
      </c>
      <c r="K37" s="33">
        <f>'Прил 2'!L20</f>
        <v>114.49000000000001</v>
      </c>
      <c r="L37" s="33">
        <f>'Прил 2'!M20</f>
        <v>114.49000000000001</v>
      </c>
    </row>
    <row r="38" spans="1:12" ht="34.5" customHeight="1">
      <c r="A38" s="7" t="s">
        <v>85</v>
      </c>
      <c r="B38" s="4" t="str">
        <f>B37</f>
        <v>чел.</v>
      </c>
      <c r="C38" s="4">
        <f>C37</f>
        <v>358</v>
      </c>
      <c r="D38" s="4">
        <f>D37</f>
        <v>365</v>
      </c>
      <c r="E38" s="4">
        <f>E37</f>
        <v>378</v>
      </c>
      <c r="F38" s="4">
        <f>F37</f>
        <v>378</v>
      </c>
      <c r="G38" s="4">
        <f>G37</f>
        <v>378</v>
      </c>
      <c r="H38" s="33">
        <f>H37</f>
        <v>100</v>
      </c>
      <c r="I38" s="33">
        <f>I37</f>
        <v>107</v>
      </c>
      <c r="J38" s="33">
        <f>J37</f>
        <v>114.49000000000001</v>
      </c>
      <c r="K38" s="33">
        <f>K37</f>
        <v>114.49000000000001</v>
      </c>
      <c r="L38" s="33">
        <f>L37</f>
        <v>114.49000000000001</v>
      </c>
    </row>
    <row r="39" spans="1:12" ht="26.25" customHeight="1">
      <c r="A39" s="45" t="s">
        <v>30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7"/>
    </row>
    <row r="40" spans="1:12" ht="89.25" customHeight="1">
      <c r="A40" s="7" t="s">
        <v>84</v>
      </c>
      <c r="B40" s="4" t="str">
        <f>B37</f>
        <v>чел.</v>
      </c>
      <c r="C40" s="4">
        <f>C37</f>
        <v>358</v>
      </c>
      <c r="D40" s="4">
        <f>D37</f>
        <v>365</v>
      </c>
      <c r="E40" s="4">
        <f>E37</f>
        <v>378</v>
      </c>
      <c r="F40" s="4">
        <f>F37</f>
        <v>378</v>
      </c>
      <c r="G40" s="4">
        <f>G37</f>
        <v>378</v>
      </c>
      <c r="H40" s="33">
        <f>'Прил 2'!I21</f>
        <v>15</v>
      </c>
      <c r="I40" s="33">
        <f>'Прил 2'!J21</f>
        <v>16.05</v>
      </c>
      <c r="J40" s="33">
        <f>'Прил 2'!K21</f>
        <v>17.1735</v>
      </c>
      <c r="K40" s="33">
        <f>'Прил 2'!L21</f>
        <v>17.1735</v>
      </c>
      <c r="L40" s="33">
        <f>'Прил 2'!M21</f>
        <v>17.1735</v>
      </c>
    </row>
    <row r="41" spans="1:12" ht="36.75" customHeight="1">
      <c r="A41" s="7" t="s">
        <v>85</v>
      </c>
      <c r="B41" s="4" t="str">
        <f>B40</f>
        <v>чел.</v>
      </c>
      <c r="C41" s="4">
        <f>C40</f>
        <v>358</v>
      </c>
      <c r="D41" s="4">
        <f>D40</f>
        <v>365</v>
      </c>
      <c r="E41" s="4">
        <f>E40</f>
        <v>378</v>
      </c>
      <c r="F41" s="4">
        <f>F40</f>
        <v>378</v>
      </c>
      <c r="G41" s="4">
        <f>G40</f>
        <v>378</v>
      </c>
      <c r="H41" s="33">
        <f>H40</f>
        <v>15</v>
      </c>
      <c r="I41" s="33">
        <f>I40</f>
        <v>16.05</v>
      </c>
      <c r="J41" s="33">
        <f>J40</f>
        <v>17.1735</v>
      </c>
      <c r="K41" s="33">
        <f>K40</f>
        <v>17.1735</v>
      </c>
      <c r="L41" s="33">
        <f>L40</f>
        <v>17.1735</v>
      </c>
    </row>
    <row r="42" spans="1:12" ht="21" customHeight="1">
      <c r="A42" s="45" t="s">
        <v>34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7"/>
    </row>
    <row r="43" spans="1:12" ht="88.5" customHeight="1">
      <c r="A43" s="7" t="s">
        <v>84</v>
      </c>
      <c r="B43" s="4" t="str">
        <f>B40</f>
        <v>чел.</v>
      </c>
      <c r="C43" s="4">
        <f>C40</f>
        <v>358</v>
      </c>
      <c r="D43" s="4">
        <f>D40</f>
        <v>365</v>
      </c>
      <c r="E43" s="4">
        <f>E40</f>
        <v>378</v>
      </c>
      <c r="F43" s="4">
        <f>F40</f>
        <v>378</v>
      </c>
      <c r="G43" s="4">
        <f>G40</f>
        <v>378</v>
      </c>
      <c r="H43" s="33">
        <f>'Прил 2'!I22</f>
        <v>1</v>
      </c>
      <c r="I43" s="33">
        <f>'Прил 2'!J22</f>
        <v>1.07</v>
      </c>
      <c r="J43" s="33">
        <f>'Прил 2'!K22</f>
        <v>1.1449</v>
      </c>
      <c r="K43" s="33">
        <f>'Прил 2'!L22</f>
        <v>1.1449</v>
      </c>
      <c r="L43" s="33">
        <f>'Прил 2'!M22</f>
        <v>1.1449</v>
      </c>
    </row>
    <row r="44" spans="1:12" ht="30.75" customHeight="1">
      <c r="A44" s="7" t="s">
        <v>85</v>
      </c>
      <c r="B44" s="4" t="str">
        <f>B43</f>
        <v>чел.</v>
      </c>
      <c r="C44" s="4">
        <f>C43</f>
        <v>358</v>
      </c>
      <c r="D44" s="4">
        <f>D43</f>
        <v>365</v>
      </c>
      <c r="E44" s="4">
        <f>E43</f>
        <v>378</v>
      </c>
      <c r="F44" s="4">
        <f>F43</f>
        <v>378</v>
      </c>
      <c r="G44" s="4">
        <f>G43</f>
        <v>378</v>
      </c>
      <c r="H44" s="33">
        <f>H43</f>
        <v>1</v>
      </c>
      <c r="I44" s="33">
        <f>I43</f>
        <v>1.07</v>
      </c>
      <c r="J44" s="33">
        <f>J43</f>
        <v>1.1449</v>
      </c>
      <c r="K44" s="33">
        <f>K43</f>
        <v>1.1449</v>
      </c>
      <c r="L44" s="33">
        <f>L43</f>
        <v>1.1449</v>
      </c>
    </row>
    <row r="45" spans="1:12" ht="25.5" customHeight="1">
      <c r="A45" s="42" t="s">
        <v>74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4"/>
    </row>
    <row r="46" spans="1:13" ht="15">
      <c r="A46" s="48" t="s">
        <v>14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50"/>
      <c r="M46" s="37"/>
    </row>
    <row r="47" spans="1:14" ht="90">
      <c r="A47" s="7" t="s">
        <v>86</v>
      </c>
      <c r="B47" s="32" t="str">
        <f>B43</f>
        <v>чел.</v>
      </c>
      <c r="C47" s="32">
        <f>1270</f>
        <v>1270</v>
      </c>
      <c r="D47" s="32">
        <f>1290</f>
        <v>1290</v>
      </c>
      <c r="E47" s="32">
        <f>1295</f>
        <v>1295</v>
      </c>
      <c r="F47" s="32">
        <f>E47</f>
        <v>1295</v>
      </c>
      <c r="G47" s="32">
        <f>F47</f>
        <v>1295</v>
      </c>
      <c r="H47" s="22">
        <f>'Прил 2'!I24-H49</f>
        <v>32564.600000000002</v>
      </c>
      <c r="I47" s="22">
        <f>'Прил 2'!J24-I49</f>
        <v>97029.989</v>
      </c>
      <c r="J47" s="22">
        <f>'Прил 2'!K24-J49</f>
        <v>105189.79723000001</v>
      </c>
      <c r="K47" s="22">
        <f>'Прил 2'!L24-K49</f>
        <v>105189.79723000001</v>
      </c>
      <c r="L47" s="22">
        <f>'Прил 2'!M24-L49</f>
        <v>105189.79723000001</v>
      </c>
      <c r="M47" s="37"/>
      <c r="N47" s="37"/>
    </row>
    <row r="48" spans="1:12" ht="77.25">
      <c r="A48" s="7" t="s">
        <v>87</v>
      </c>
      <c r="B48" s="32" t="str">
        <f>B47</f>
        <v>чел.</v>
      </c>
      <c r="C48" s="32">
        <f>C47</f>
        <v>1270</v>
      </c>
      <c r="D48" s="32">
        <f>D47</f>
        <v>1290</v>
      </c>
      <c r="E48" s="32">
        <f>E47</f>
        <v>1295</v>
      </c>
      <c r="F48" s="32">
        <f>F47</f>
        <v>1295</v>
      </c>
      <c r="G48" s="32">
        <f>G47</f>
        <v>1295</v>
      </c>
      <c r="H48" s="22">
        <f>H47</f>
        <v>32564.600000000002</v>
      </c>
      <c r="I48" s="22">
        <f>I47</f>
        <v>97029.989</v>
      </c>
      <c r="J48" s="22">
        <f>J47</f>
        <v>105189.79723000001</v>
      </c>
      <c r="K48" s="22">
        <f>K47</f>
        <v>105189.79723000001</v>
      </c>
      <c r="L48" s="22">
        <f>L47</f>
        <v>105189.79723000001</v>
      </c>
    </row>
    <row r="49" spans="1:12" ht="92.25" customHeight="1">
      <c r="A49" s="7" t="s">
        <v>84</v>
      </c>
      <c r="B49" s="32" t="str">
        <f>B47</f>
        <v>чел.</v>
      </c>
      <c r="C49" s="32">
        <f>242</f>
        <v>242</v>
      </c>
      <c r="D49" s="32">
        <f>255</f>
        <v>255</v>
      </c>
      <c r="E49" s="32">
        <f>270</f>
        <v>270</v>
      </c>
      <c r="F49" s="32">
        <f>270</f>
        <v>270</v>
      </c>
      <c r="G49" s="32">
        <f>270</f>
        <v>270</v>
      </c>
      <c r="H49" s="22">
        <f>19538.7</f>
        <v>19538.7</v>
      </c>
      <c r="I49" s="22">
        <f>19538.7</f>
        <v>19538.7</v>
      </c>
      <c r="J49" s="22">
        <f>19538.7</f>
        <v>19538.7</v>
      </c>
      <c r="K49" s="22">
        <f>19538.7</f>
        <v>19538.7</v>
      </c>
      <c r="L49" s="22">
        <f>19538.7</f>
        <v>19538.7</v>
      </c>
    </row>
    <row r="50" spans="1:14" ht="26.25">
      <c r="A50" s="7" t="s">
        <v>85</v>
      </c>
      <c r="B50" s="32" t="str">
        <f>B49</f>
        <v>чел.</v>
      </c>
      <c r="C50" s="32">
        <f>C49</f>
        <v>242</v>
      </c>
      <c r="D50" s="32">
        <f>D49</f>
        <v>255</v>
      </c>
      <c r="E50" s="32">
        <f>E49</f>
        <v>270</v>
      </c>
      <c r="F50" s="32">
        <f>F49</f>
        <v>270</v>
      </c>
      <c r="G50" s="32">
        <f>G49</f>
        <v>270</v>
      </c>
      <c r="H50" s="22">
        <f>H49</f>
        <v>19538.7</v>
      </c>
      <c r="I50" s="22">
        <f>I49</f>
        <v>19538.7</v>
      </c>
      <c r="J50" s="22">
        <f>J49</f>
        <v>19538.7</v>
      </c>
      <c r="K50" s="22">
        <f>K49</f>
        <v>19538.7</v>
      </c>
      <c r="L50" s="22">
        <f>L49</f>
        <v>19538.7</v>
      </c>
      <c r="N50" s="40"/>
    </row>
    <row r="51" spans="1:13" ht="15">
      <c r="A51" s="48" t="s">
        <v>76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50"/>
      <c r="M51" s="37"/>
    </row>
    <row r="52" spans="1:12" ht="90">
      <c r="A52" s="7" t="s">
        <v>86</v>
      </c>
      <c r="B52" s="32" t="str">
        <f>B47</f>
        <v>чел.</v>
      </c>
      <c r="C52" s="32">
        <f>C47</f>
        <v>1270</v>
      </c>
      <c r="D52" s="32">
        <f>D47</f>
        <v>1290</v>
      </c>
      <c r="E52" s="32">
        <f>E47</f>
        <v>1295</v>
      </c>
      <c r="F52" s="32">
        <f>F47</f>
        <v>1295</v>
      </c>
      <c r="G52" s="32">
        <f>G47</f>
        <v>1295</v>
      </c>
      <c r="H52" s="22">
        <f>'Прил 2'!I25-H54</f>
        <v>142480.2</v>
      </c>
      <c r="I52" s="22">
        <f>'Прил 2'!J25-I54</f>
        <v>152453.814</v>
      </c>
      <c r="J52" s="22">
        <f>'Прил 2'!K25-J54</f>
        <v>163125.58098000003</v>
      </c>
      <c r="K52" s="22">
        <f>'Прил 2'!L25-K54</f>
        <v>163125.58098000003</v>
      </c>
      <c r="L52" s="22">
        <f>'Прил 2'!M25-L54</f>
        <v>163125.58098000003</v>
      </c>
    </row>
    <row r="53" spans="1:12" ht="77.25">
      <c r="A53" s="7" t="s">
        <v>87</v>
      </c>
      <c r="B53" s="32" t="str">
        <f>B52</f>
        <v>чел.</v>
      </c>
      <c r="C53" s="32">
        <f>C52</f>
        <v>1270</v>
      </c>
      <c r="D53" s="32">
        <f>D52</f>
        <v>1290</v>
      </c>
      <c r="E53" s="32">
        <f>E52</f>
        <v>1295</v>
      </c>
      <c r="F53" s="32">
        <f>F52</f>
        <v>1295</v>
      </c>
      <c r="G53" s="32">
        <f>G52</f>
        <v>1295</v>
      </c>
      <c r="H53" s="22">
        <f>H52</f>
        <v>142480.2</v>
      </c>
      <c r="I53" s="22">
        <f>I52</f>
        <v>152453.814</v>
      </c>
      <c r="J53" s="22">
        <f>J52</f>
        <v>163125.58098000003</v>
      </c>
      <c r="K53" s="22">
        <f>K52</f>
        <v>163125.58098000003</v>
      </c>
      <c r="L53" s="22">
        <f>L52</f>
        <v>163125.58098000003</v>
      </c>
    </row>
    <row r="54" spans="1:12" ht="91.5" customHeight="1">
      <c r="A54" s="7" t="s">
        <v>84</v>
      </c>
      <c r="B54" s="32" t="str">
        <f>B49</f>
        <v>чел.</v>
      </c>
      <c r="C54" s="32">
        <f>C49</f>
        <v>242</v>
      </c>
      <c r="D54" s="32">
        <f>D49</f>
        <v>255</v>
      </c>
      <c r="E54" s="32">
        <f>E49</f>
        <v>270</v>
      </c>
      <c r="F54" s="32">
        <f>F49</f>
        <v>270</v>
      </c>
      <c r="G54" s="32">
        <f>G49</f>
        <v>270</v>
      </c>
      <c r="H54" s="22">
        <f>11575.5</f>
        <v>11575.5</v>
      </c>
      <c r="I54" s="22">
        <f>H54*1.07</f>
        <v>12385.785</v>
      </c>
      <c r="J54" s="22">
        <f>I54*1.07</f>
        <v>13252.78995</v>
      </c>
      <c r="K54" s="22">
        <f>J54</f>
        <v>13252.78995</v>
      </c>
      <c r="L54" s="22">
        <f>K54</f>
        <v>13252.78995</v>
      </c>
    </row>
    <row r="55" spans="1:12" ht="26.25">
      <c r="A55" s="7" t="s">
        <v>85</v>
      </c>
      <c r="B55" s="32" t="str">
        <f>B54</f>
        <v>чел.</v>
      </c>
      <c r="C55" s="32">
        <f>C54</f>
        <v>242</v>
      </c>
      <c r="D55" s="32">
        <f>D54</f>
        <v>255</v>
      </c>
      <c r="E55" s="32">
        <f>E54</f>
        <v>270</v>
      </c>
      <c r="F55" s="32">
        <f>F54</f>
        <v>270</v>
      </c>
      <c r="G55" s="32">
        <f>G54</f>
        <v>270</v>
      </c>
      <c r="H55" s="22">
        <f>H54</f>
        <v>11575.5</v>
      </c>
      <c r="I55" s="22">
        <f>I54</f>
        <v>12385.785</v>
      </c>
      <c r="J55" s="22">
        <f>J54</f>
        <v>13252.78995</v>
      </c>
      <c r="K55" s="22">
        <f>K54</f>
        <v>13252.78995</v>
      </c>
      <c r="L55" s="22">
        <f>L54</f>
        <v>13252.78995</v>
      </c>
    </row>
    <row r="56" spans="1:13" ht="32.25" customHeight="1">
      <c r="A56" s="51" t="s">
        <v>89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3"/>
      <c r="M56" s="37"/>
    </row>
    <row r="57" spans="1:12" ht="90.75" customHeight="1">
      <c r="A57" s="7" t="s">
        <v>84</v>
      </c>
      <c r="B57" s="32" t="str">
        <f>B54</f>
        <v>чел.</v>
      </c>
      <c r="C57" s="32">
        <f>C54</f>
        <v>242</v>
      </c>
      <c r="D57" s="32">
        <f>D54</f>
        <v>255</v>
      </c>
      <c r="E57" s="32">
        <f>E54</f>
        <v>270</v>
      </c>
      <c r="F57" s="32">
        <f>F54</f>
        <v>270</v>
      </c>
      <c r="G57" s="32">
        <f>G54</f>
        <v>270</v>
      </c>
      <c r="H57" s="22">
        <f>'Прил 2'!I26</f>
        <v>1066.2</v>
      </c>
      <c r="I57" s="22">
        <f>'Прил 2'!J26</f>
        <v>1140.834</v>
      </c>
      <c r="J57" s="22">
        <f>'Прил 2'!K26</f>
        <v>1220.6923800000002</v>
      </c>
      <c r="K57" s="22">
        <f>'Прил 2'!L26</f>
        <v>1220.6923800000002</v>
      </c>
      <c r="L57" s="22">
        <f>'Прил 2'!M26</f>
        <v>1220.6923800000002</v>
      </c>
    </row>
    <row r="58" spans="1:12" ht="26.25">
      <c r="A58" s="7" t="s">
        <v>85</v>
      </c>
      <c r="B58" s="32" t="str">
        <f>B57</f>
        <v>чел.</v>
      </c>
      <c r="C58" s="32">
        <f>C57</f>
        <v>242</v>
      </c>
      <c r="D58" s="32">
        <f>D57</f>
        <v>255</v>
      </c>
      <c r="E58" s="32">
        <f>E57</f>
        <v>270</v>
      </c>
      <c r="F58" s="32">
        <f>F57</f>
        <v>270</v>
      </c>
      <c r="G58" s="32">
        <f>G57</f>
        <v>270</v>
      </c>
      <c r="H58" s="22">
        <f>H57</f>
        <v>1066.2</v>
      </c>
      <c r="I58" s="22">
        <f>I57</f>
        <v>1140.834</v>
      </c>
      <c r="J58" s="22">
        <f>J57</f>
        <v>1220.6923800000002</v>
      </c>
      <c r="K58" s="22">
        <f>K57</f>
        <v>1220.6923800000002</v>
      </c>
      <c r="L58" s="22">
        <f>L57</f>
        <v>1220.6923800000002</v>
      </c>
    </row>
    <row r="59" spans="1:12" ht="15">
      <c r="A59" s="48" t="s">
        <v>15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50"/>
    </row>
    <row r="60" spans="1:12" ht="90">
      <c r="A60" s="7" t="s">
        <v>86</v>
      </c>
      <c r="B60" s="32" t="str">
        <f>B52</f>
        <v>чел.</v>
      </c>
      <c r="C60" s="32">
        <f>C52</f>
        <v>1270</v>
      </c>
      <c r="D60" s="32">
        <f>D52</f>
        <v>1290</v>
      </c>
      <c r="E60" s="32">
        <f>E52</f>
        <v>1295</v>
      </c>
      <c r="F60" s="32">
        <f>F52</f>
        <v>1295</v>
      </c>
      <c r="G60" s="32">
        <f>G52</f>
        <v>1295</v>
      </c>
      <c r="H60" s="35"/>
      <c r="I60" s="35"/>
      <c r="J60" s="35"/>
      <c r="K60" s="35"/>
      <c r="L60" s="35"/>
    </row>
    <row r="61" spans="1:12" ht="77.25">
      <c r="A61" s="7" t="s">
        <v>87</v>
      </c>
      <c r="B61" s="32" t="str">
        <f>B60</f>
        <v>чел.</v>
      </c>
      <c r="C61" s="32">
        <f>C60</f>
        <v>1270</v>
      </c>
      <c r="D61" s="32">
        <f>D60</f>
        <v>1290</v>
      </c>
      <c r="E61" s="32">
        <f>E60</f>
        <v>1295</v>
      </c>
      <c r="F61" s="32">
        <f>F60</f>
        <v>1295</v>
      </c>
      <c r="G61" s="32">
        <f>G60</f>
        <v>1295</v>
      </c>
      <c r="H61" s="35"/>
      <c r="I61" s="35"/>
      <c r="J61" s="35"/>
      <c r="K61" s="35"/>
      <c r="L61" s="35"/>
    </row>
    <row r="62" spans="1:12" ht="90" customHeight="1">
      <c r="A62" s="7" t="s">
        <v>84</v>
      </c>
      <c r="B62" s="32" t="str">
        <f>B54</f>
        <v>чел.</v>
      </c>
      <c r="C62" s="32">
        <f>C54</f>
        <v>242</v>
      </c>
      <c r="D62" s="32">
        <f>D54</f>
        <v>255</v>
      </c>
      <c r="E62" s="32">
        <f>E54</f>
        <v>270</v>
      </c>
      <c r="F62" s="32">
        <f>F54</f>
        <v>270</v>
      </c>
      <c r="G62" s="32">
        <f>G54</f>
        <v>270</v>
      </c>
      <c r="H62" s="35"/>
      <c r="I62" s="35"/>
      <c r="J62" s="35"/>
      <c r="K62" s="35"/>
      <c r="L62" s="35"/>
    </row>
    <row r="63" spans="1:12" ht="26.25">
      <c r="A63" s="7" t="s">
        <v>85</v>
      </c>
      <c r="B63" s="32" t="str">
        <f>B62</f>
        <v>чел.</v>
      </c>
      <c r="C63" s="32">
        <f>C62</f>
        <v>242</v>
      </c>
      <c r="D63" s="32">
        <f>D62</f>
        <v>255</v>
      </c>
      <c r="E63" s="32">
        <f>E62</f>
        <v>270</v>
      </c>
      <c r="F63" s="32">
        <f>F62</f>
        <v>270</v>
      </c>
      <c r="G63" s="32">
        <f>G62</f>
        <v>270</v>
      </c>
      <c r="H63" s="35"/>
      <c r="I63" s="35"/>
      <c r="J63" s="35"/>
      <c r="K63" s="35"/>
      <c r="L63" s="35"/>
    </row>
    <row r="64" spans="1:12" ht="24" customHeight="1">
      <c r="A64" s="45" t="s">
        <v>77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7"/>
    </row>
    <row r="65" spans="1:12" ht="90">
      <c r="A65" s="7" t="s">
        <v>86</v>
      </c>
      <c r="B65" s="32" t="str">
        <f>B52</f>
        <v>чел.</v>
      </c>
      <c r="C65" s="32">
        <f>C52</f>
        <v>1270</v>
      </c>
      <c r="D65" s="32">
        <f>D52</f>
        <v>1290</v>
      </c>
      <c r="E65" s="32">
        <f>E52</f>
        <v>1295</v>
      </c>
      <c r="F65" s="32">
        <f>F52</f>
        <v>1295</v>
      </c>
      <c r="G65" s="32">
        <f>G52</f>
        <v>1295</v>
      </c>
      <c r="H65" s="3"/>
      <c r="I65" s="3"/>
      <c r="J65" s="3"/>
      <c r="K65" s="3"/>
      <c r="L65" s="3"/>
    </row>
    <row r="66" spans="1:12" ht="77.25">
      <c r="A66" s="7" t="s">
        <v>87</v>
      </c>
      <c r="B66" s="32" t="str">
        <f>B65</f>
        <v>чел.</v>
      </c>
      <c r="C66" s="32">
        <f>C65</f>
        <v>1270</v>
      </c>
      <c r="D66" s="32">
        <f>D65</f>
        <v>1290</v>
      </c>
      <c r="E66" s="32">
        <f>E65</f>
        <v>1295</v>
      </c>
      <c r="F66" s="32">
        <f>F65</f>
        <v>1295</v>
      </c>
      <c r="G66" s="32">
        <f>G65</f>
        <v>1295</v>
      </c>
      <c r="H66" s="3"/>
      <c r="I66" s="3"/>
      <c r="J66" s="3"/>
      <c r="K66" s="3"/>
      <c r="L66" s="3"/>
    </row>
    <row r="67" spans="1:12" ht="90" customHeight="1">
      <c r="A67" s="7" t="s">
        <v>84</v>
      </c>
      <c r="B67" s="32" t="str">
        <f>B54</f>
        <v>чел.</v>
      </c>
      <c r="C67" s="32">
        <f>C54</f>
        <v>242</v>
      </c>
      <c r="D67" s="32">
        <f>D54</f>
        <v>255</v>
      </c>
      <c r="E67" s="32">
        <f>E54</f>
        <v>270</v>
      </c>
      <c r="F67" s="32">
        <f>F54</f>
        <v>270</v>
      </c>
      <c r="G67" s="32">
        <f>G54</f>
        <v>270</v>
      </c>
      <c r="H67" s="3"/>
      <c r="I67" s="3"/>
      <c r="J67" s="3"/>
      <c r="K67" s="3"/>
      <c r="L67" s="3"/>
    </row>
    <row r="68" spans="1:12" ht="26.25">
      <c r="A68" s="7" t="s">
        <v>85</v>
      </c>
      <c r="B68" s="32" t="str">
        <f>B67</f>
        <v>чел.</v>
      </c>
      <c r="C68" s="32">
        <f>C67</f>
        <v>242</v>
      </c>
      <c r="D68" s="32">
        <f>D67</f>
        <v>255</v>
      </c>
      <c r="E68" s="32">
        <f>E67</f>
        <v>270</v>
      </c>
      <c r="F68" s="32">
        <f>F67</f>
        <v>270</v>
      </c>
      <c r="G68" s="32">
        <f>G67</f>
        <v>270</v>
      </c>
      <c r="H68" s="3"/>
      <c r="I68" s="3"/>
      <c r="J68" s="3"/>
      <c r="K68" s="3"/>
      <c r="L68" s="3"/>
    </row>
    <row r="69" spans="1:12" ht="22.5" customHeight="1">
      <c r="A69" s="51" t="s">
        <v>20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3"/>
    </row>
    <row r="70" spans="1:12" ht="88.5" customHeight="1">
      <c r="A70" s="7" t="s">
        <v>86</v>
      </c>
      <c r="B70" s="4" t="str">
        <f>B52</f>
        <v>чел.</v>
      </c>
      <c r="C70" s="4">
        <f>136</f>
        <v>136</v>
      </c>
      <c r="D70" s="4">
        <f>140</f>
        <v>140</v>
      </c>
      <c r="E70" s="4">
        <f>142</f>
        <v>142</v>
      </c>
      <c r="F70" s="4">
        <f>142</f>
        <v>142</v>
      </c>
      <c r="G70" s="4">
        <f>142</f>
        <v>142</v>
      </c>
      <c r="H70" s="34">
        <f>'Прил 2'!I29</f>
        <v>0</v>
      </c>
      <c r="I70" s="34">
        <f>'Прил 2'!J29</f>
        <v>35000</v>
      </c>
      <c r="J70" s="34">
        <f>'Прил 2'!K29</f>
        <v>37450</v>
      </c>
      <c r="K70" s="34">
        <f>'Прил 2'!L29</f>
        <v>0</v>
      </c>
      <c r="L70" s="34">
        <f>'Прил 2'!M29</f>
        <v>0</v>
      </c>
    </row>
    <row r="71" spans="1:12" ht="78" customHeight="1">
      <c r="A71" s="7" t="s">
        <v>87</v>
      </c>
      <c r="B71" s="4" t="str">
        <f>B70</f>
        <v>чел.</v>
      </c>
      <c r="C71" s="4">
        <f>C70</f>
        <v>136</v>
      </c>
      <c r="D71" s="4">
        <f>D70</f>
        <v>140</v>
      </c>
      <c r="E71" s="4">
        <f>E70</f>
        <v>142</v>
      </c>
      <c r="F71" s="4">
        <f>F70</f>
        <v>142</v>
      </c>
      <c r="G71" s="4">
        <f>G70</f>
        <v>142</v>
      </c>
      <c r="H71" s="34">
        <f>H70</f>
        <v>0</v>
      </c>
      <c r="I71" s="34">
        <f>I70</f>
        <v>35000</v>
      </c>
      <c r="J71" s="34">
        <f>J70</f>
        <v>37450</v>
      </c>
      <c r="K71" s="34">
        <f>K70</f>
        <v>0</v>
      </c>
      <c r="L71" s="34">
        <f>L70</f>
        <v>0</v>
      </c>
    </row>
    <row r="72" spans="1:13" ht="20.25" customHeight="1">
      <c r="A72" s="51" t="s">
        <v>21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3"/>
      <c r="M72" s="37"/>
    </row>
    <row r="73" spans="1:12" ht="87.75" customHeight="1">
      <c r="A73" s="7" t="s">
        <v>86</v>
      </c>
      <c r="B73" s="4" t="str">
        <f>B70</f>
        <v>чел.</v>
      </c>
      <c r="C73" s="4">
        <f>C70</f>
        <v>136</v>
      </c>
      <c r="D73" s="4">
        <f>D70</f>
        <v>140</v>
      </c>
      <c r="E73" s="4">
        <f>E70</f>
        <v>142</v>
      </c>
      <c r="F73" s="4">
        <f>F70</f>
        <v>142</v>
      </c>
      <c r="G73" s="4">
        <f>G70</f>
        <v>142</v>
      </c>
      <c r="H73" s="34">
        <f>'Прил 2'!I30</f>
        <v>7000</v>
      </c>
      <c r="I73" s="34">
        <f>'Прил 2'!J30</f>
        <v>0</v>
      </c>
      <c r="J73" s="34">
        <f>'Прил 2'!K30</f>
        <v>0</v>
      </c>
      <c r="K73" s="34">
        <f>'Прил 2'!L30</f>
        <v>0</v>
      </c>
      <c r="L73" s="34">
        <f>'Прил 2'!M30</f>
        <v>0</v>
      </c>
    </row>
    <row r="74" spans="1:12" ht="78.75" customHeight="1">
      <c r="A74" s="7" t="s">
        <v>87</v>
      </c>
      <c r="B74" s="4" t="str">
        <f>B73</f>
        <v>чел.</v>
      </c>
      <c r="C74" s="4">
        <f>C73</f>
        <v>136</v>
      </c>
      <c r="D74" s="4">
        <f>D73</f>
        <v>140</v>
      </c>
      <c r="E74" s="4">
        <f>E73</f>
        <v>142</v>
      </c>
      <c r="F74" s="4">
        <f>F73</f>
        <v>142</v>
      </c>
      <c r="G74" s="4">
        <f>G73</f>
        <v>142</v>
      </c>
      <c r="H74" s="34">
        <f>H73</f>
        <v>7000</v>
      </c>
      <c r="I74" s="34">
        <f>I73</f>
        <v>0</v>
      </c>
      <c r="J74" s="34">
        <f>J73</f>
        <v>0</v>
      </c>
      <c r="K74" s="34">
        <f>K73</f>
        <v>0</v>
      </c>
      <c r="L74" s="34">
        <f>L73</f>
        <v>0</v>
      </c>
    </row>
    <row r="75" spans="1:12" ht="21" customHeight="1">
      <c r="A75" s="51" t="s">
        <v>23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3"/>
    </row>
    <row r="76" spans="1:13" ht="87.75" customHeight="1">
      <c r="A76" s="7" t="s">
        <v>86</v>
      </c>
      <c r="B76" s="4" t="str">
        <f>B73</f>
        <v>чел.</v>
      </c>
      <c r="C76" s="4">
        <f>52</f>
        <v>52</v>
      </c>
      <c r="D76" s="4">
        <f>50</f>
        <v>50</v>
      </c>
      <c r="E76" s="4">
        <f>54</f>
        <v>54</v>
      </c>
      <c r="F76" s="4">
        <f>54</f>
        <v>54</v>
      </c>
      <c r="G76" s="4">
        <f>54</f>
        <v>54</v>
      </c>
      <c r="H76" s="34">
        <f>'Прил 2'!I31</f>
        <v>10000</v>
      </c>
      <c r="I76" s="34">
        <f>'Прил 2'!J31</f>
        <v>0</v>
      </c>
      <c r="J76" s="34">
        <f>'Прил 2'!K31</f>
        <v>0</v>
      </c>
      <c r="K76" s="34">
        <f>'Прил 2'!L31</f>
        <v>0</v>
      </c>
      <c r="L76" s="34">
        <f>'Прил 2'!M31</f>
        <v>0</v>
      </c>
      <c r="M76" s="37"/>
    </row>
    <row r="77" spans="1:12" ht="75" customHeight="1">
      <c r="A77" s="7" t="s">
        <v>87</v>
      </c>
      <c r="B77" s="4" t="str">
        <f>B76</f>
        <v>чел.</v>
      </c>
      <c r="C77" s="4">
        <f>C76</f>
        <v>52</v>
      </c>
      <c r="D77" s="4">
        <f>D76</f>
        <v>50</v>
      </c>
      <c r="E77" s="4">
        <f>E76</f>
        <v>54</v>
      </c>
      <c r="F77" s="4">
        <f>F76</f>
        <v>54</v>
      </c>
      <c r="G77" s="4">
        <f>G76</f>
        <v>54</v>
      </c>
      <c r="H77" s="34">
        <f>H76</f>
        <v>10000</v>
      </c>
      <c r="I77" s="34">
        <f>I76</f>
        <v>0</v>
      </c>
      <c r="J77" s="34">
        <f>J76</f>
        <v>0</v>
      </c>
      <c r="K77" s="34">
        <f>K76</f>
        <v>0</v>
      </c>
      <c r="L77" s="34">
        <f>L76</f>
        <v>0</v>
      </c>
    </row>
    <row r="78" spans="1:12" ht="20.25" customHeight="1">
      <c r="A78" s="51" t="s">
        <v>22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3"/>
    </row>
    <row r="79" spans="1:13" ht="87.75" customHeight="1">
      <c r="A79" s="7" t="s">
        <v>86</v>
      </c>
      <c r="B79" s="4" t="str">
        <f>B76</f>
        <v>чел.</v>
      </c>
      <c r="C79" s="4">
        <f>C76</f>
        <v>52</v>
      </c>
      <c r="D79" s="4">
        <f>D76</f>
        <v>50</v>
      </c>
      <c r="E79" s="4">
        <f>E76</f>
        <v>54</v>
      </c>
      <c r="F79" s="4">
        <f>F76</f>
        <v>54</v>
      </c>
      <c r="G79" s="4">
        <f>G76</f>
        <v>54</v>
      </c>
      <c r="H79" s="34">
        <f>'Прил 2'!I32</f>
        <v>1000</v>
      </c>
      <c r="I79" s="34">
        <f>'Прил 2'!J32</f>
        <v>0</v>
      </c>
      <c r="J79" s="34">
        <f>'Прил 2'!K32</f>
        <v>0</v>
      </c>
      <c r="K79" s="34">
        <f>'Прил 2'!L32</f>
        <v>0</v>
      </c>
      <c r="L79" s="34">
        <f>'Прил 2'!M32</f>
        <v>0</v>
      </c>
      <c r="M79" s="37"/>
    </row>
    <row r="80" spans="1:12" ht="76.5" customHeight="1">
      <c r="A80" s="7" t="s">
        <v>87</v>
      </c>
      <c r="B80" s="4" t="str">
        <f>B79</f>
        <v>чел.</v>
      </c>
      <c r="C80" s="4">
        <f>C79</f>
        <v>52</v>
      </c>
      <c r="D80" s="4">
        <f>D79</f>
        <v>50</v>
      </c>
      <c r="E80" s="4">
        <f>E79</f>
        <v>54</v>
      </c>
      <c r="F80" s="4">
        <f>F79</f>
        <v>54</v>
      </c>
      <c r="G80" s="4">
        <f>G79</f>
        <v>54</v>
      </c>
      <c r="H80" s="34">
        <f>H79</f>
        <v>1000</v>
      </c>
      <c r="I80" s="34">
        <f>I79</f>
        <v>0</v>
      </c>
      <c r="J80" s="34">
        <f>J79</f>
        <v>0</v>
      </c>
      <c r="K80" s="34">
        <f>K79</f>
        <v>0</v>
      </c>
      <c r="L80" s="34">
        <f>L79</f>
        <v>0</v>
      </c>
    </row>
    <row r="81" spans="1:12" ht="20.25" customHeight="1">
      <c r="A81" s="51" t="s">
        <v>24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3"/>
    </row>
    <row r="82" spans="1:12" ht="89.25" customHeight="1">
      <c r="A82" s="7" t="s">
        <v>86</v>
      </c>
      <c r="B82" s="4" t="str">
        <f>B79</f>
        <v>чел.</v>
      </c>
      <c r="C82" s="4">
        <f>58</f>
        <v>58</v>
      </c>
      <c r="D82" s="4">
        <f>56</f>
        <v>56</v>
      </c>
      <c r="E82" s="4">
        <f>60</f>
        <v>60</v>
      </c>
      <c r="F82" s="4">
        <f>60</f>
        <v>60</v>
      </c>
      <c r="G82" s="4">
        <f>60</f>
        <v>60</v>
      </c>
      <c r="H82" s="34">
        <f>'Прил 2'!I33</f>
        <v>0</v>
      </c>
      <c r="I82" s="34">
        <f>'Прил 2'!J33</f>
        <v>2200</v>
      </c>
      <c r="J82" s="34">
        <f>'Прил 2'!K33</f>
        <v>0</v>
      </c>
      <c r="K82" s="34">
        <f>'Прил 2'!L33</f>
        <v>0</v>
      </c>
      <c r="L82" s="34">
        <f>'Прил 2'!M33</f>
        <v>0</v>
      </c>
    </row>
    <row r="83" spans="1:12" ht="75.75" customHeight="1">
      <c r="A83" s="7" t="s">
        <v>87</v>
      </c>
      <c r="B83" s="4" t="str">
        <f>B82</f>
        <v>чел.</v>
      </c>
      <c r="C83" s="4">
        <f>C82</f>
        <v>58</v>
      </c>
      <c r="D83" s="4">
        <f>D82</f>
        <v>56</v>
      </c>
      <c r="E83" s="4">
        <f>E82</f>
        <v>60</v>
      </c>
      <c r="F83" s="4">
        <f>F82</f>
        <v>60</v>
      </c>
      <c r="G83" s="4">
        <f>G82</f>
        <v>60</v>
      </c>
      <c r="H83" s="34">
        <f>H82</f>
        <v>0</v>
      </c>
      <c r="I83" s="34">
        <f>I82</f>
        <v>2200</v>
      </c>
      <c r="J83" s="34">
        <f>J82</f>
        <v>0</v>
      </c>
      <c r="K83" s="34">
        <f>K82</f>
        <v>0</v>
      </c>
      <c r="L83" s="34">
        <f>L82</f>
        <v>0</v>
      </c>
    </row>
    <row r="84" spans="1:12" ht="18.75" customHeight="1">
      <c r="A84" s="51" t="s">
        <v>25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3"/>
    </row>
    <row r="85" spans="1:12" ht="87.75" customHeight="1">
      <c r="A85" s="7" t="s">
        <v>86</v>
      </c>
      <c r="B85" s="4" t="str">
        <f>B82</f>
        <v>чел.</v>
      </c>
      <c r="C85" s="4">
        <f>662</f>
        <v>662</v>
      </c>
      <c r="D85" s="4">
        <f>670</f>
        <v>670</v>
      </c>
      <c r="E85" s="4">
        <f>677</f>
        <v>677</v>
      </c>
      <c r="F85" s="4">
        <f>677</f>
        <v>677</v>
      </c>
      <c r="G85" s="4">
        <f>677</f>
        <v>677</v>
      </c>
      <c r="H85" s="34">
        <f>'Прил 2'!I34</f>
        <v>0</v>
      </c>
      <c r="I85" s="34">
        <f>'Прил 2'!J34</f>
        <v>5000</v>
      </c>
      <c r="J85" s="34">
        <f>'Прил 2'!K34</f>
        <v>0</v>
      </c>
      <c r="K85" s="34">
        <f>'Прил 2'!L34</f>
        <v>0</v>
      </c>
      <c r="L85" s="34">
        <f>'Прил 2'!M34</f>
        <v>0</v>
      </c>
    </row>
    <row r="86" spans="1:12" ht="75.75" customHeight="1">
      <c r="A86" s="7" t="s">
        <v>87</v>
      </c>
      <c r="B86" s="4" t="str">
        <f>B85</f>
        <v>чел.</v>
      </c>
      <c r="C86" s="4">
        <f>C85</f>
        <v>662</v>
      </c>
      <c r="D86" s="4">
        <f>D85</f>
        <v>670</v>
      </c>
      <c r="E86" s="4">
        <f>E85</f>
        <v>677</v>
      </c>
      <c r="F86" s="4">
        <f>F85</f>
        <v>677</v>
      </c>
      <c r="G86" s="4">
        <f>G85</f>
        <v>677</v>
      </c>
      <c r="H86" s="34">
        <f>H85</f>
        <v>0</v>
      </c>
      <c r="I86" s="34">
        <f>I85</f>
        <v>5000</v>
      </c>
      <c r="J86" s="34">
        <f>J85</f>
        <v>0</v>
      </c>
      <c r="K86" s="34">
        <f>K85</f>
        <v>0</v>
      </c>
      <c r="L86" s="34">
        <f>L85</f>
        <v>0</v>
      </c>
    </row>
    <row r="87" spans="1:12" ht="19.5" customHeight="1">
      <c r="A87" s="51" t="s">
        <v>26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3"/>
    </row>
    <row r="88" spans="1:12" ht="90" customHeight="1">
      <c r="A88" s="7" t="s">
        <v>86</v>
      </c>
      <c r="B88" s="4" t="str">
        <f>B85</f>
        <v>чел.</v>
      </c>
      <c r="C88" s="4">
        <f>76</f>
        <v>76</v>
      </c>
      <c r="D88" s="4">
        <f>74</f>
        <v>74</v>
      </c>
      <c r="E88" s="4">
        <f>77</f>
        <v>77</v>
      </c>
      <c r="F88" s="4">
        <f>77</f>
        <v>77</v>
      </c>
      <c r="G88" s="4">
        <f>77</f>
        <v>77</v>
      </c>
      <c r="H88" s="34">
        <f>'Прил 2'!I35</f>
        <v>0</v>
      </c>
      <c r="I88" s="34">
        <f>'Прил 2'!J35</f>
        <v>0</v>
      </c>
      <c r="J88" s="34">
        <f>'Прил 2'!K35</f>
        <v>2000</v>
      </c>
      <c r="K88" s="34">
        <f>'Прил 2'!L35</f>
        <v>0</v>
      </c>
      <c r="L88" s="34">
        <f>'Прил 2'!M35</f>
        <v>0</v>
      </c>
    </row>
    <row r="89" spans="1:12" ht="76.5" customHeight="1">
      <c r="A89" s="7" t="s">
        <v>87</v>
      </c>
      <c r="B89" s="4" t="str">
        <f>B88</f>
        <v>чел.</v>
      </c>
      <c r="C89" s="4">
        <f>C88</f>
        <v>76</v>
      </c>
      <c r="D89" s="4">
        <f>D88</f>
        <v>74</v>
      </c>
      <c r="E89" s="4">
        <f>E88</f>
        <v>77</v>
      </c>
      <c r="F89" s="4">
        <f>F88</f>
        <v>77</v>
      </c>
      <c r="G89" s="4">
        <f>G88</f>
        <v>77</v>
      </c>
      <c r="H89" s="34">
        <f>H88</f>
        <v>0</v>
      </c>
      <c r="I89" s="34">
        <f>I88</f>
        <v>0</v>
      </c>
      <c r="J89" s="34">
        <f>J88</f>
        <v>2000</v>
      </c>
      <c r="K89" s="34">
        <f>K88</f>
        <v>0</v>
      </c>
      <c r="L89" s="34">
        <f>L88</f>
        <v>0</v>
      </c>
    </row>
    <row r="90" spans="1:13" ht="23.25" customHeight="1">
      <c r="A90" s="51" t="s">
        <v>78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3"/>
      <c r="M90" s="37"/>
    </row>
    <row r="91" spans="1:12" ht="87.75" customHeight="1">
      <c r="A91" s="7" t="s">
        <v>86</v>
      </c>
      <c r="B91" s="4" t="str">
        <f>B88</f>
        <v>чел.</v>
      </c>
      <c r="C91" s="4">
        <f>C66</f>
        <v>1270</v>
      </c>
      <c r="D91" s="4">
        <f>D66</f>
        <v>1290</v>
      </c>
      <c r="E91" s="4">
        <f>E66</f>
        <v>1295</v>
      </c>
      <c r="F91" s="4">
        <f>F66</f>
        <v>1295</v>
      </c>
      <c r="G91" s="4">
        <f>G66</f>
        <v>1295</v>
      </c>
      <c r="H91" s="34">
        <f>'Прил 2'!I36-H93</f>
        <v>2560</v>
      </c>
      <c r="I91" s="34">
        <f>'Прил 2'!J36-I93</f>
        <v>2739.2</v>
      </c>
      <c r="J91" s="34">
        <f>'Прил 2'!K36-J93</f>
        <v>2930.944</v>
      </c>
      <c r="K91" s="34">
        <f>'Прил 2'!L36-K93</f>
        <v>2930.944</v>
      </c>
      <c r="L91" s="34">
        <f>'Прил 2'!M36-L93</f>
        <v>2930.944</v>
      </c>
    </row>
    <row r="92" spans="1:13" ht="77.25" customHeight="1">
      <c r="A92" s="7" t="s">
        <v>87</v>
      </c>
      <c r="B92" s="4" t="str">
        <f>B91</f>
        <v>чел.</v>
      </c>
      <c r="C92" s="4">
        <f>C91</f>
        <v>1270</v>
      </c>
      <c r="D92" s="4">
        <f>D91</f>
        <v>1290</v>
      </c>
      <c r="E92" s="4">
        <f>E91</f>
        <v>1295</v>
      </c>
      <c r="F92" s="4">
        <f>F91</f>
        <v>1295</v>
      </c>
      <c r="G92" s="4">
        <f>G91</f>
        <v>1295</v>
      </c>
      <c r="H92" s="34">
        <f>H91</f>
        <v>2560</v>
      </c>
      <c r="I92" s="34">
        <f>I91</f>
        <v>2739.2</v>
      </c>
      <c r="J92" s="34">
        <f>J91</f>
        <v>2930.944</v>
      </c>
      <c r="K92" s="34">
        <f>K91</f>
        <v>2930.944</v>
      </c>
      <c r="L92" s="34">
        <f>L91</f>
        <v>2930.944</v>
      </c>
      <c r="M92" s="38"/>
    </row>
    <row r="93" spans="1:12" ht="90.75" customHeight="1">
      <c r="A93" s="7" t="s">
        <v>84</v>
      </c>
      <c r="B93" s="4" t="str">
        <f>B67</f>
        <v>чел.</v>
      </c>
      <c r="C93" s="4">
        <f>C67</f>
        <v>242</v>
      </c>
      <c r="D93" s="4">
        <f>D67</f>
        <v>255</v>
      </c>
      <c r="E93" s="4">
        <f>E67</f>
        <v>270</v>
      </c>
      <c r="F93" s="4">
        <f>F67</f>
        <v>270</v>
      </c>
      <c r="G93" s="4">
        <f>G67</f>
        <v>270</v>
      </c>
      <c r="H93" s="34">
        <f>1540</f>
        <v>1540</v>
      </c>
      <c r="I93" s="34">
        <f>H93*1.07</f>
        <v>1647.8000000000002</v>
      </c>
      <c r="J93" s="34">
        <f>I93*1.07</f>
        <v>1763.1460000000002</v>
      </c>
      <c r="K93" s="34">
        <f>J93</f>
        <v>1763.1460000000002</v>
      </c>
      <c r="L93" s="34">
        <f>K93</f>
        <v>1763.1460000000002</v>
      </c>
    </row>
    <row r="94" spans="1:12" ht="27.75" customHeight="1">
      <c r="A94" s="7" t="s">
        <v>85</v>
      </c>
      <c r="B94" s="4" t="str">
        <f>B93</f>
        <v>чел.</v>
      </c>
      <c r="C94" s="4">
        <f>C93</f>
        <v>242</v>
      </c>
      <c r="D94" s="4">
        <f>D93</f>
        <v>255</v>
      </c>
      <c r="E94" s="4">
        <f>E93</f>
        <v>270</v>
      </c>
      <c r="F94" s="4">
        <f>F93</f>
        <v>270</v>
      </c>
      <c r="G94" s="4">
        <f>G93</f>
        <v>270</v>
      </c>
      <c r="H94" s="34">
        <f>H93</f>
        <v>1540</v>
      </c>
      <c r="I94" s="34">
        <f>I93</f>
        <v>1647.8000000000002</v>
      </c>
      <c r="J94" s="34">
        <f>J93</f>
        <v>1763.1460000000002</v>
      </c>
      <c r="K94" s="34">
        <f>K93</f>
        <v>1763.1460000000002</v>
      </c>
      <c r="L94" s="34">
        <f>L93</f>
        <v>1763.1460000000002</v>
      </c>
    </row>
    <row r="95" spans="1:13" ht="19.5" customHeight="1">
      <c r="A95" s="51" t="s">
        <v>27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3"/>
      <c r="M95" s="37"/>
    </row>
    <row r="96" spans="1:12" ht="88.5" customHeight="1">
      <c r="A96" s="7" t="s">
        <v>86</v>
      </c>
      <c r="B96" s="4" t="str">
        <f>B91</f>
        <v>чел.</v>
      </c>
      <c r="C96" s="4">
        <f>C91</f>
        <v>1270</v>
      </c>
      <c r="D96" s="4">
        <f>D91</f>
        <v>1290</v>
      </c>
      <c r="E96" s="4">
        <f>E91</f>
        <v>1295</v>
      </c>
      <c r="F96" s="4">
        <f>F91</f>
        <v>1295</v>
      </c>
      <c r="G96" s="4">
        <f>G91</f>
        <v>1295</v>
      </c>
      <c r="H96" s="34">
        <f>'Прил 2'!I37-H98</f>
        <v>1000</v>
      </c>
      <c r="I96" s="34">
        <f>'Прил 2'!J37-I98</f>
        <v>500</v>
      </c>
      <c r="J96" s="34">
        <f>'Прил 2'!K37-J98</f>
        <v>535</v>
      </c>
      <c r="K96" s="34">
        <f>'Прил 2'!L37-K98</f>
        <v>535</v>
      </c>
      <c r="L96" s="34">
        <f>'Прил 2'!M37-L98</f>
        <v>535</v>
      </c>
    </row>
    <row r="97" spans="1:13" ht="76.5" customHeight="1">
      <c r="A97" s="7" t="s">
        <v>87</v>
      </c>
      <c r="B97" s="4" t="str">
        <f>B96</f>
        <v>чел.</v>
      </c>
      <c r="C97" s="4">
        <f>C96</f>
        <v>1270</v>
      </c>
      <c r="D97" s="4">
        <f>D96</f>
        <v>1290</v>
      </c>
      <c r="E97" s="4">
        <f>E96</f>
        <v>1295</v>
      </c>
      <c r="F97" s="4">
        <f>F96</f>
        <v>1295</v>
      </c>
      <c r="G97" s="4">
        <f>G96</f>
        <v>1295</v>
      </c>
      <c r="H97" s="34">
        <f>H96</f>
        <v>1000</v>
      </c>
      <c r="I97" s="34">
        <f>I96</f>
        <v>500</v>
      </c>
      <c r="J97" s="34">
        <f>J96</f>
        <v>535</v>
      </c>
      <c r="K97" s="34">
        <f>K96</f>
        <v>535</v>
      </c>
      <c r="L97" s="34">
        <f>L96</f>
        <v>535</v>
      </c>
      <c r="M97" s="38"/>
    </row>
    <row r="98" spans="1:12" ht="90.75" customHeight="1">
      <c r="A98" s="7" t="s">
        <v>84</v>
      </c>
      <c r="B98" s="4" t="str">
        <f>B93</f>
        <v>чел.</v>
      </c>
      <c r="C98" s="4">
        <f>C93</f>
        <v>242</v>
      </c>
      <c r="D98" s="4">
        <f>D93</f>
        <v>255</v>
      </c>
      <c r="E98" s="4">
        <f>E93</f>
        <v>270</v>
      </c>
      <c r="F98" s="4">
        <f>F93</f>
        <v>270</v>
      </c>
      <c r="G98" s="4">
        <f>G93</f>
        <v>270</v>
      </c>
      <c r="H98" s="34">
        <f>600</f>
        <v>600</v>
      </c>
      <c r="I98" s="34">
        <f>300</f>
        <v>300</v>
      </c>
      <c r="J98" s="34">
        <f>I98*1.07</f>
        <v>321</v>
      </c>
      <c r="K98" s="34">
        <f>J98</f>
        <v>321</v>
      </c>
      <c r="L98" s="34">
        <f>K98</f>
        <v>321</v>
      </c>
    </row>
    <row r="99" spans="1:12" ht="30" customHeight="1">
      <c r="A99" s="7" t="s">
        <v>85</v>
      </c>
      <c r="B99" s="4" t="str">
        <f>B98</f>
        <v>чел.</v>
      </c>
      <c r="C99" s="4">
        <f>C98</f>
        <v>242</v>
      </c>
      <c r="D99" s="4">
        <f>D98</f>
        <v>255</v>
      </c>
      <c r="E99" s="4">
        <f>E98</f>
        <v>270</v>
      </c>
      <c r="F99" s="4">
        <f>F98</f>
        <v>270</v>
      </c>
      <c r="G99" s="4">
        <f>G98</f>
        <v>270</v>
      </c>
      <c r="H99" s="34">
        <f>H98</f>
        <v>600</v>
      </c>
      <c r="I99" s="34">
        <f>I98</f>
        <v>300</v>
      </c>
      <c r="J99" s="34">
        <f>J98</f>
        <v>321</v>
      </c>
      <c r="K99" s="34">
        <f>K98</f>
        <v>321</v>
      </c>
      <c r="L99" s="34">
        <f>L98</f>
        <v>321</v>
      </c>
    </row>
    <row r="100" spans="1:13" ht="21.75" customHeight="1">
      <c r="A100" s="51" t="s">
        <v>79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3"/>
      <c r="M100" s="37"/>
    </row>
    <row r="101" spans="1:12" ht="87.75" customHeight="1">
      <c r="A101" s="7" t="s">
        <v>86</v>
      </c>
      <c r="B101" s="4" t="str">
        <f>B96</f>
        <v>чел.</v>
      </c>
      <c r="C101" s="4">
        <f>C96</f>
        <v>1270</v>
      </c>
      <c r="D101" s="4">
        <f>D96</f>
        <v>1290</v>
      </c>
      <c r="E101" s="4">
        <f>E96</f>
        <v>1295</v>
      </c>
      <c r="F101" s="4">
        <f>F96</f>
        <v>1295</v>
      </c>
      <c r="G101" s="4">
        <f>G96</f>
        <v>1295</v>
      </c>
      <c r="H101" s="34">
        <f>'Прил 2'!I38-H103</f>
        <v>27069.8</v>
      </c>
      <c r="I101" s="34">
        <f>'Прил 2'!J38-I103</f>
        <v>30764.686</v>
      </c>
      <c r="J101" s="34">
        <f>'Прил 2'!K38-J103</f>
        <v>32918.21402</v>
      </c>
      <c r="K101" s="34">
        <f>'Прил 2'!L38-K103</f>
        <v>32918.21402</v>
      </c>
      <c r="L101" s="34">
        <f>'Прил 2'!M38-L103</f>
        <v>32918.21402</v>
      </c>
    </row>
    <row r="102" spans="1:12" ht="77.25" customHeight="1">
      <c r="A102" s="7" t="s">
        <v>87</v>
      </c>
      <c r="B102" s="4" t="str">
        <f>B101</f>
        <v>чел.</v>
      </c>
      <c r="C102" s="4">
        <f>C101</f>
        <v>1270</v>
      </c>
      <c r="D102" s="4">
        <f>D101</f>
        <v>1290</v>
      </c>
      <c r="E102" s="4">
        <f>E101</f>
        <v>1295</v>
      </c>
      <c r="F102" s="4">
        <f>F101</f>
        <v>1295</v>
      </c>
      <c r="G102" s="4">
        <f>G101</f>
        <v>1295</v>
      </c>
      <c r="H102" s="34">
        <f>H101</f>
        <v>27069.8</v>
      </c>
      <c r="I102" s="34">
        <f>I101</f>
        <v>30764.686</v>
      </c>
      <c r="J102" s="34">
        <f>J101</f>
        <v>32918.21402</v>
      </c>
      <c r="K102" s="34">
        <f>K101</f>
        <v>32918.21402</v>
      </c>
      <c r="L102" s="34">
        <f>L101</f>
        <v>32918.21402</v>
      </c>
    </row>
    <row r="103" spans="1:12" ht="90.75" customHeight="1">
      <c r="A103" s="7" t="s">
        <v>84</v>
      </c>
      <c r="B103" s="4" t="str">
        <f>B98</f>
        <v>чел.</v>
      </c>
      <c r="C103" s="4">
        <f>C98</f>
        <v>242</v>
      </c>
      <c r="D103" s="4">
        <f>D98</f>
        <v>255</v>
      </c>
      <c r="E103" s="4">
        <f>E98</f>
        <v>270</v>
      </c>
      <c r="F103" s="4">
        <f>F98</f>
        <v>270</v>
      </c>
      <c r="G103" s="4">
        <f>G98</f>
        <v>270</v>
      </c>
      <c r="H103" s="34">
        <f>152</f>
        <v>152</v>
      </c>
      <c r="I103" s="34">
        <f>H103*1.07</f>
        <v>162.64000000000001</v>
      </c>
      <c r="J103" s="34">
        <f>I103*1.07</f>
        <v>174.02480000000003</v>
      </c>
      <c r="K103" s="34">
        <f>J103</f>
        <v>174.02480000000003</v>
      </c>
      <c r="L103" s="34">
        <f>K103</f>
        <v>174.02480000000003</v>
      </c>
    </row>
    <row r="104" spans="1:12" ht="28.5" customHeight="1">
      <c r="A104" s="7" t="s">
        <v>85</v>
      </c>
      <c r="B104" s="4" t="str">
        <f>B103</f>
        <v>чел.</v>
      </c>
      <c r="C104" s="4">
        <f>C103</f>
        <v>242</v>
      </c>
      <c r="D104" s="4">
        <f>D103</f>
        <v>255</v>
      </c>
      <c r="E104" s="4">
        <f>E103</f>
        <v>270</v>
      </c>
      <c r="F104" s="4">
        <f>F103</f>
        <v>270</v>
      </c>
      <c r="G104" s="4">
        <f>G103</f>
        <v>270</v>
      </c>
      <c r="H104" s="34">
        <f>H103</f>
        <v>152</v>
      </c>
      <c r="I104" s="34">
        <f>I103</f>
        <v>162.64000000000001</v>
      </c>
      <c r="J104" s="34">
        <f>J103</f>
        <v>174.02480000000003</v>
      </c>
      <c r="K104" s="34">
        <f>K103</f>
        <v>174.02480000000003</v>
      </c>
      <c r="L104" s="34">
        <f>L103</f>
        <v>174.02480000000003</v>
      </c>
    </row>
    <row r="105" spans="1:13" ht="21.75" customHeight="1">
      <c r="A105" s="51" t="s">
        <v>28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3"/>
      <c r="M105" s="37"/>
    </row>
    <row r="106" spans="1:12" ht="88.5" customHeight="1">
      <c r="A106" s="7" t="s">
        <v>86</v>
      </c>
      <c r="B106" s="4" t="str">
        <f>B101</f>
        <v>чел.</v>
      </c>
      <c r="C106" s="4">
        <f>C101</f>
        <v>1270</v>
      </c>
      <c r="D106" s="4">
        <f>D101</f>
        <v>1290</v>
      </c>
      <c r="E106" s="4">
        <f>E101</f>
        <v>1295</v>
      </c>
      <c r="F106" s="4">
        <f>F101</f>
        <v>1295</v>
      </c>
      <c r="G106" s="4">
        <f>G101</f>
        <v>1295</v>
      </c>
      <c r="H106" s="34">
        <f>'Прил 2'!I39-H108</f>
        <v>600</v>
      </c>
      <c r="I106" s="34">
        <f>'Прил 2'!J39</f>
        <v>0</v>
      </c>
      <c r="J106" s="34">
        <f>'Прил 2'!K39</f>
        <v>0</v>
      </c>
      <c r="K106" s="34">
        <f>'Прил 2'!L39</f>
        <v>0</v>
      </c>
      <c r="L106" s="34">
        <f>'Прил 2'!M39</f>
        <v>0</v>
      </c>
    </row>
    <row r="107" spans="1:13" ht="76.5" customHeight="1">
      <c r="A107" s="7" t="s">
        <v>87</v>
      </c>
      <c r="B107" s="4" t="str">
        <f>B106</f>
        <v>чел.</v>
      </c>
      <c r="C107" s="4">
        <f>C106</f>
        <v>1270</v>
      </c>
      <c r="D107" s="4">
        <f>D106</f>
        <v>1290</v>
      </c>
      <c r="E107" s="4">
        <f>E106</f>
        <v>1295</v>
      </c>
      <c r="F107" s="4">
        <f>F106</f>
        <v>1295</v>
      </c>
      <c r="G107" s="4">
        <f>G106</f>
        <v>1295</v>
      </c>
      <c r="H107" s="34">
        <f>H106</f>
        <v>600</v>
      </c>
      <c r="I107" s="34">
        <f>I106</f>
        <v>0</v>
      </c>
      <c r="J107" s="34">
        <f>J106</f>
        <v>0</v>
      </c>
      <c r="K107" s="34">
        <f>K106</f>
        <v>0</v>
      </c>
      <c r="L107" s="34">
        <f>L106</f>
        <v>0</v>
      </c>
      <c r="M107" s="38"/>
    </row>
    <row r="108" spans="1:12" ht="88.5" customHeight="1">
      <c r="A108" s="7" t="s">
        <v>84</v>
      </c>
      <c r="B108" s="4" t="str">
        <f>B103</f>
        <v>чел.</v>
      </c>
      <c r="C108" s="4">
        <f>C103</f>
        <v>242</v>
      </c>
      <c r="D108" s="4">
        <f>D103</f>
        <v>255</v>
      </c>
      <c r="E108" s="4">
        <f>E103</f>
        <v>270</v>
      </c>
      <c r="F108" s="4">
        <f>F103</f>
        <v>270</v>
      </c>
      <c r="G108" s="4">
        <f>G103</f>
        <v>270</v>
      </c>
      <c r="H108" s="34">
        <f>300</f>
        <v>300</v>
      </c>
      <c r="I108" s="34"/>
      <c r="J108" s="34"/>
      <c r="K108" s="34"/>
      <c r="L108" s="34"/>
    </row>
    <row r="109" spans="1:12" ht="30" customHeight="1">
      <c r="A109" s="7" t="s">
        <v>85</v>
      </c>
      <c r="B109" s="4" t="str">
        <f>B108</f>
        <v>чел.</v>
      </c>
      <c r="C109" s="4">
        <f>C108</f>
        <v>242</v>
      </c>
      <c r="D109" s="4">
        <f>D108</f>
        <v>255</v>
      </c>
      <c r="E109" s="4">
        <f>E108</f>
        <v>270</v>
      </c>
      <c r="F109" s="4">
        <f>F108</f>
        <v>270</v>
      </c>
      <c r="G109" s="4">
        <f>G108</f>
        <v>270</v>
      </c>
      <c r="H109" s="34">
        <f>H108</f>
        <v>300</v>
      </c>
      <c r="I109" s="34"/>
      <c r="J109" s="34"/>
      <c r="K109" s="34"/>
      <c r="L109" s="34"/>
    </row>
    <row r="110" spans="1:13" ht="24" customHeight="1">
      <c r="A110" s="51" t="s">
        <v>29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3"/>
      <c r="M110" s="37"/>
    </row>
    <row r="111" spans="1:12" ht="90.75" customHeight="1">
      <c r="A111" s="7" t="s">
        <v>86</v>
      </c>
      <c r="B111" s="4" t="str">
        <f>B106</f>
        <v>чел.</v>
      </c>
      <c r="C111" s="4">
        <f>C106</f>
        <v>1270</v>
      </c>
      <c r="D111" s="4">
        <f>D106</f>
        <v>1290</v>
      </c>
      <c r="E111" s="4">
        <f>E106</f>
        <v>1295</v>
      </c>
      <c r="F111" s="4">
        <f>F106</f>
        <v>1295</v>
      </c>
      <c r="G111" s="4">
        <f>G106</f>
        <v>1295</v>
      </c>
      <c r="H111" s="34">
        <f>'Прил 2'!I40-H113</f>
        <v>600</v>
      </c>
      <c r="I111" s="34">
        <f>'Прил 2'!J40-I113</f>
        <v>0</v>
      </c>
      <c r="J111" s="34">
        <f>'Прил 2'!K40-J113</f>
        <v>0</v>
      </c>
      <c r="K111" s="34">
        <f>'Прил 2'!L40-K113</f>
        <v>0</v>
      </c>
      <c r="L111" s="34">
        <f>'Прил 2'!M40-L113</f>
        <v>0</v>
      </c>
    </row>
    <row r="112" spans="1:12" ht="78" customHeight="1">
      <c r="A112" s="7" t="s">
        <v>87</v>
      </c>
      <c r="B112" s="4" t="str">
        <f>B111</f>
        <v>чел.</v>
      </c>
      <c r="C112" s="4">
        <f>C111</f>
        <v>1270</v>
      </c>
      <c r="D112" s="4">
        <f>D111</f>
        <v>1290</v>
      </c>
      <c r="E112" s="4">
        <f>E111</f>
        <v>1295</v>
      </c>
      <c r="F112" s="4">
        <f>F111</f>
        <v>1295</v>
      </c>
      <c r="G112" s="4">
        <f>G111</f>
        <v>1295</v>
      </c>
      <c r="H112" s="34">
        <f>H111</f>
        <v>600</v>
      </c>
      <c r="I112" s="34">
        <f>I111</f>
        <v>0</v>
      </c>
      <c r="J112" s="34">
        <f>J111</f>
        <v>0</v>
      </c>
      <c r="K112" s="34">
        <f>K111</f>
        <v>0</v>
      </c>
      <c r="L112" s="34">
        <f>L111</f>
        <v>0</v>
      </c>
    </row>
    <row r="113" spans="1:12" ht="91.5" customHeight="1">
      <c r="A113" s="7" t="s">
        <v>84</v>
      </c>
      <c r="B113" s="4" t="str">
        <f>B108</f>
        <v>чел.</v>
      </c>
      <c r="C113" s="4">
        <f>C108</f>
        <v>242</v>
      </c>
      <c r="D113" s="4">
        <f>D108</f>
        <v>255</v>
      </c>
      <c r="E113" s="4">
        <f>E108</f>
        <v>270</v>
      </c>
      <c r="F113" s="4">
        <f>F108</f>
        <v>270</v>
      </c>
      <c r="G113" s="4">
        <f>G108</f>
        <v>270</v>
      </c>
      <c r="H113" s="34">
        <f>300</f>
        <v>300</v>
      </c>
      <c r="I113" s="34"/>
      <c r="J113" s="34"/>
      <c r="K113" s="34"/>
      <c r="L113" s="34"/>
    </row>
    <row r="114" spans="1:12" ht="24.75" customHeight="1">
      <c r="A114" s="7" t="s">
        <v>85</v>
      </c>
      <c r="B114" s="4" t="str">
        <f>B113</f>
        <v>чел.</v>
      </c>
      <c r="C114" s="4">
        <f>C113</f>
        <v>242</v>
      </c>
      <c r="D114" s="4">
        <f>D113</f>
        <v>255</v>
      </c>
      <c r="E114" s="4">
        <f>E113</f>
        <v>270</v>
      </c>
      <c r="F114" s="4">
        <f>F113</f>
        <v>270</v>
      </c>
      <c r="G114" s="4">
        <f>G113</f>
        <v>270</v>
      </c>
      <c r="H114" s="34">
        <f>H113</f>
        <v>300</v>
      </c>
      <c r="I114" s="34"/>
      <c r="J114" s="34"/>
      <c r="K114" s="34"/>
      <c r="L114" s="34"/>
    </row>
    <row r="115" spans="1:13" ht="22.5" customHeight="1">
      <c r="A115" s="51" t="s">
        <v>30</v>
      </c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3"/>
      <c r="M115" s="37"/>
    </row>
    <row r="116" spans="1:12" ht="90.75" customHeight="1">
      <c r="A116" s="7" t="s">
        <v>86</v>
      </c>
      <c r="B116" s="4" t="str">
        <f>B111</f>
        <v>чел.</v>
      </c>
      <c r="C116" s="4">
        <f>C111</f>
        <v>1270</v>
      </c>
      <c r="D116" s="4">
        <f>D111</f>
        <v>1290</v>
      </c>
      <c r="E116" s="4">
        <f>E111</f>
        <v>1295</v>
      </c>
      <c r="F116" s="4">
        <f>F111</f>
        <v>1295</v>
      </c>
      <c r="G116" s="4">
        <f>G111</f>
        <v>1295</v>
      </c>
      <c r="H116" s="34">
        <f>'Прил 2'!I41-H118</f>
        <v>85</v>
      </c>
      <c r="I116" s="34">
        <f>'Прил 2'!J41-I118</f>
        <v>85</v>
      </c>
      <c r="J116" s="34">
        <f>'Прил 2'!K41-J118</f>
        <v>85</v>
      </c>
      <c r="K116" s="34">
        <f>'Прил 2'!L41-K118</f>
        <v>85</v>
      </c>
      <c r="L116" s="34">
        <f>'Прил 2'!M41-L118</f>
        <v>85</v>
      </c>
    </row>
    <row r="117" spans="1:13" ht="75" customHeight="1">
      <c r="A117" s="7" t="s">
        <v>87</v>
      </c>
      <c r="B117" s="4" t="str">
        <f>B116</f>
        <v>чел.</v>
      </c>
      <c r="C117" s="4">
        <f>C116</f>
        <v>1270</v>
      </c>
      <c r="D117" s="4">
        <f>D116</f>
        <v>1290</v>
      </c>
      <c r="E117" s="4">
        <f>E116</f>
        <v>1295</v>
      </c>
      <c r="F117" s="4">
        <f>F116</f>
        <v>1295</v>
      </c>
      <c r="G117" s="4">
        <f>G116</f>
        <v>1295</v>
      </c>
      <c r="H117" s="34">
        <f>H116</f>
        <v>85</v>
      </c>
      <c r="I117" s="34">
        <f>I116</f>
        <v>85</v>
      </c>
      <c r="J117" s="34">
        <f>J116</f>
        <v>85</v>
      </c>
      <c r="K117" s="34">
        <f>K116</f>
        <v>85</v>
      </c>
      <c r="L117" s="34">
        <f>L116</f>
        <v>85</v>
      </c>
      <c r="M117" s="38"/>
    </row>
    <row r="118" spans="1:12" ht="91.5" customHeight="1">
      <c r="A118" s="7" t="s">
        <v>84</v>
      </c>
      <c r="B118" s="4" t="str">
        <f>B113</f>
        <v>чел.</v>
      </c>
      <c r="C118" s="4">
        <f>C113</f>
        <v>242</v>
      </c>
      <c r="D118" s="4">
        <f>D113</f>
        <v>255</v>
      </c>
      <c r="E118" s="4">
        <f>E113</f>
        <v>270</v>
      </c>
      <c r="F118" s="4">
        <f>F113</f>
        <v>270</v>
      </c>
      <c r="G118" s="4">
        <f>G113</f>
        <v>270</v>
      </c>
      <c r="H118" s="34">
        <f>50</f>
        <v>50</v>
      </c>
      <c r="I118" s="34">
        <f>H118</f>
        <v>50</v>
      </c>
      <c r="J118" s="34">
        <f>I118</f>
        <v>50</v>
      </c>
      <c r="K118" s="34">
        <f>J118</f>
        <v>50</v>
      </c>
      <c r="L118" s="34">
        <f>K118</f>
        <v>50</v>
      </c>
    </row>
    <row r="119" spans="1:12" ht="25.5" customHeight="1">
      <c r="A119" s="7" t="s">
        <v>85</v>
      </c>
      <c r="B119" s="4" t="str">
        <f>B118</f>
        <v>чел.</v>
      </c>
      <c r="C119" s="4">
        <f>C118</f>
        <v>242</v>
      </c>
      <c r="D119" s="4">
        <f>D118</f>
        <v>255</v>
      </c>
      <c r="E119" s="4">
        <f>E118</f>
        <v>270</v>
      </c>
      <c r="F119" s="4">
        <f>F118</f>
        <v>270</v>
      </c>
      <c r="G119" s="4">
        <f>G118</f>
        <v>270</v>
      </c>
      <c r="H119" s="34">
        <f>H118</f>
        <v>50</v>
      </c>
      <c r="I119" s="34">
        <f>I118</f>
        <v>50</v>
      </c>
      <c r="J119" s="34">
        <f>J118</f>
        <v>50</v>
      </c>
      <c r="K119" s="34">
        <f>K118</f>
        <v>50</v>
      </c>
      <c r="L119" s="34">
        <f>L118</f>
        <v>50</v>
      </c>
    </row>
    <row r="120" spans="1:12" ht="24" customHeight="1">
      <c r="A120" s="51" t="s">
        <v>31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3"/>
    </row>
    <row r="121" spans="1:12" ht="90.75" customHeight="1">
      <c r="A121" s="7" t="s">
        <v>86</v>
      </c>
      <c r="B121" s="4" t="str">
        <f>B116</f>
        <v>чел.</v>
      </c>
      <c r="C121" s="4">
        <f>C85</f>
        <v>662</v>
      </c>
      <c r="D121" s="4">
        <f>D85</f>
        <v>670</v>
      </c>
      <c r="E121" s="4">
        <f>E85</f>
        <v>677</v>
      </c>
      <c r="F121" s="4">
        <f>F85</f>
        <v>677</v>
      </c>
      <c r="G121" s="4">
        <f>G85</f>
        <v>677</v>
      </c>
      <c r="H121" s="34">
        <f>'Прил 2'!I42</f>
        <v>0</v>
      </c>
      <c r="I121" s="34">
        <f>'Прил 2'!J42</f>
        <v>1500</v>
      </c>
      <c r="J121" s="34">
        <f>'Прил 2'!K42</f>
        <v>0</v>
      </c>
      <c r="K121" s="34">
        <f>'Прил 2'!L42</f>
        <v>0</v>
      </c>
      <c r="L121" s="34">
        <f>'Прил 2'!M42</f>
        <v>0</v>
      </c>
    </row>
    <row r="122" spans="1:12" ht="75.75" customHeight="1">
      <c r="A122" s="7" t="s">
        <v>87</v>
      </c>
      <c r="B122" s="4" t="str">
        <f>B121</f>
        <v>чел.</v>
      </c>
      <c r="C122" s="4">
        <f>C121</f>
        <v>662</v>
      </c>
      <c r="D122" s="4">
        <f>D121</f>
        <v>670</v>
      </c>
      <c r="E122" s="4">
        <f>E121</f>
        <v>677</v>
      </c>
      <c r="F122" s="4">
        <f>F121</f>
        <v>677</v>
      </c>
      <c r="G122" s="4">
        <f>G121</f>
        <v>677</v>
      </c>
      <c r="H122" s="34">
        <f>H121</f>
        <v>0</v>
      </c>
      <c r="I122" s="34">
        <f>I121</f>
        <v>1500</v>
      </c>
      <c r="J122" s="34">
        <f>J121</f>
        <v>0</v>
      </c>
      <c r="K122" s="34">
        <f>K121</f>
        <v>0</v>
      </c>
      <c r="L122" s="34">
        <f>L121</f>
        <v>0</v>
      </c>
    </row>
    <row r="123" spans="1:13" ht="31.5" customHeight="1">
      <c r="A123" s="51" t="s">
        <v>32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3"/>
      <c r="M123" s="37"/>
    </row>
    <row r="124" spans="1:12" ht="87.75" customHeight="1">
      <c r="A124" s="7" t="s">
        <v>86</v>
      </c>
      <c r="B124" s="4" t="str">
        <f>B121</f>
        <v>чел.</v>
      </c>
      <c r="C124" s="4">
        <f>C116</f>
        <v>1270</v>
      </c>
      <c r="D124" s="4">
        <f>D116</f>
        <v>1290</v>
      </c>
      <c r="E124" s="4">
        <f>E116</f>
        <v>1295</v>
      </c>
      <c r="F124" s="4">
        <f>F116</f>
        <v>1295</v>
      </c>
      <c r="G124" s="4">
        <f>G116</f>
        <v>1295</v>
      </c>
      <c r="H124" s="34">
        <f>'Прил 2'!I43</f>
        <v>150</v>
      </c>
      <c r="I124" s="34">
        <f>'Прил 2'!J43</f>
        <v>160.5</v>
      </c>
      <c r="J124" s="34">
        <f>'Прил 2'!K43</f>
        <v>171.735</v>
      </c>
      <c r="K124" s="34">
        <f>'Прил 2'!L43</f>
        <v>171.735</v>
      </c>
      <c r="L124" s="34">
        <f>'Прил 2'!M43</f>
        <v>171.735</v>
      </c>
    </row>
    <row r="125" spans="1:12" ht="75.75" customHeight="1">
      <c r="A125" s="7" t="s">
        <v>87</v>
      </c>
      <c r="B125" s="4" t="str">
        <f>B124</f>
        <v>чел.</v>
      </c>
      <c r="C125" s="4">
        <f>C124</f>
        <v>1270</v>
      </c>
      <c r="D125" s="4">
        <f>D124</f>
        <v>1290</v>
      </c>
      <c r="E125" s="4">
        <f>E124</f>
        <v>1295</v>
      </c>
      <c r="F125" s="4">
        <f>F124</f>
        <v>1295</v>
      </c>
      <c r="G125" s="4">
        <f>G124</f>
        <v>1295</v>
      </c>
      <c r="H125" s="34">
        <f>H124</f>
        <v>150</v>
      </c>
      <c r="I125" s="34">
        <f>I124</f>
        <v>160.5</v>
      </c>
      <c r="J125" s="34">
        <f>J124</f>
        <v>171.735</v>
      </c>
      <c r="K125" s="34">
        <f>K124</f>
        <v>171.735</v>
      </c>
      <c r="L125" s="34">
        <f>L124</f>
        <v>171.735</v>
      </c>
    </row>
    <row r="126" spans="1:13" ht="21.75" customHeight="1">
      <c r="A126" s="51" t="s">
        <v>33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3"/>
      <c r="M126" s="37"/>
    </row>
    <row r="127" spans="1:12" ht="88.5" customHeight="1">
      <c r="A127" s="7" t="s">
        <v>86</v>
      </c>
      <c r="B127" s="4" t="str">
        <f>B124</f>
        <v>чел.</v>
      </c>
      <c r="C127" s="4">
        <f>C124</f>
        <v>1270</v>
      </c>
      <c r="D127" s="4">
        <f>D124</f>
        <v>1290</v>
      </c>
      <c r="E127" s="4">
        <f>E124</f>
        <v>1295</v>
      </c>
      <c r="F127" s="4">
        <f>F124</f>
        <v>1295</v>
      </c>
      <c r="G127" s="4">
        <f>G124</f>
        <v>1295</v>
      </c>
      <c r="H127" s="34">
        <f>'Прил 2'!I44</f>
        <v>1723.8</v>
      </c>
      <c r="I127" s="34">
        <f>'Прил 2'!J44</f>
        <v>1844.4660000000001</v>
      </c>
      <c r="J127" s="34">
        <f>'Прил 2'!K44</f>
        <v>1973.5786200000002</v>
      </c>
      <c r="K127" s="34">
        <f>'Прил 2'!L44</f>
        <v>1973.5786200000002</v>
      </c>
      <c r="L127" s="34">
        <f>'Прил 2'!M44</f>
        <v>1973.5786200000002</v>
      </c>
    </row>
    <row r="128" spans="1:12" ht="75.75" customHeight="1">
      <c r="A128" s="7" t="s">
        <v>87</v>
      </c>
      <c r="B128" s="4" t="str">
        <f>B127</f>
        <v>чел.</v>
      </c>
      <c r="C128" s="4">
        <f>C127</f>
        <v>1270</v>
      </c>
      <c r="D128" s="4">
        <f>D127</f>
        <v>1290</v>
      </c>
      <c r="E128" s="4">
        <f>E127</f>
        <v>1295</v>
      </c>
      <c r="F128" s="4">
        <f>F127</f>
        <v>1295</v>
      </c>
      <c r="G128" s="4">
        <f>G127</f>
        <v>1295</v>
      </c>
      <c r="H128" s="34">
        <f>H127</f>
        <v>1723.8</v>
      </c>
      <c r="I128" s="34">
        <f>I127</f>
        <v>1844.4660000000001</v>
      </c>
      <c r="J128" s="34">
        <f>J127</f>
        <v>1973.5786200000002</v>
      </c>
      <c r="K128" s="34">
        <f>K127</f>
        <v>1973.5786200000002</v>
      </c>
      <c r="L128" s="34">
        <f>L127</f>
        <v>1973.5786200000002</v>
      </c>
    </row>
    <row r="129" spans="1:12" ht="25.5" customHeight="1">
      <c r="A129" s="51" t="s">
        <v>34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3"/>
    </row>
    <row r="130" spans="1:12" ht="89.25" customHeight="1">
      <c r="A130" s="7" t="s">
        <v>86</v>
      </c>
      <c r="B130" s="4" t="str">
        <f>B127</f>
        <v>чел.</v>
      </c>
      <c r="C130" s="4">
        <f>C127</f>
        <v>1270</v>
      </c>
      <c r="D130" s="4">
        <f>D127</f>
        <v>1290</v>
      </c>
      <c r="E130" s="4">
        <f>E127</f>
        <v>1295</v>
      </c>
      <c r="F130" s="4">
        <f>F127</f>
        <v>1295</v>
      </c>
      <c r="G130" s="4">
        <f>G127</f>
        <v>1295</v>
      </c>
      <c r="H130" s="34">
        <f>'Прил 2'!I45-H132</f>
        <v>7</v>
      </c>
      <c r="I130" s="34">
        <f>'Прил 2'!J45-I132</f>
        <v>7.49</v>
      </c>
      <c r="J130" s="34">
        <f>'Прил 2'!K45-J132</f>
        <v>8.014300000000002</v>
      </c>
      <c r="K130" s="34">
        <f>'Прил 2'!L45-K132</f>
        <v>8.014300000000002</v>
      </c>
      <c r="L130" s="34">
        <f>'Прил 2'!M45-L132</f>
        <v>8.014300000000002</v>
      </c>
    </row>
    <row r="131" spans="1:12" ht="77.25" customHeight="1">
      <c r="A131" s="7" t="s">
        <v>87</v>
      </c>
      <c r="B131" s="4" t="str">
        <f>B128</f>
        <v>чел.</v>
      </c>
      <c r="C131" s="4">
        <f>C128</f>
        <v>1270</v>
      </c>
      <c r="D131" s="4">
        <f>D128</f>
        <v>1290</v>
      </c>
      <c r="E131" s="4">
        <f>E128</f>
        <v>1295</v>
      </c>
      <c r="F131" s="4">
        <f>F128</f>
        <v>1295</v>
      </c>
      <c r="G131" s="4">
        <f>G128</f>
        <v>1295</v>
      </c>
      <c r="H131" s="34">
        <f>H130</f>
        <v>7</v>
      </c>
      <c r="I131" s="34">
        <f>I130</f>
        <v>7.49</v>
      </c>
      <c r="J131" s="34">
        <f>J130</f>
        <v>8.014300000000002</v>
      </c>
      <c r="K131" s="34">
        <f>K130</f>
        <v>8.014300000000002</v>
      </c>
      <c r="L131" s="34">
        <f>L130</f>
        <v>8.014300000000002</v>
      </c>
    </row>
    <row r="132" spans="1:12" ht="90.75" customHeight="1">
      <c r="A132" s="7" t="s">
        <v>84</v>
      </c>
      <c r="B132" s="4" t="str">
        <f>B118</f>
        <v>чел.</v>
      </c>
      <c r="C132" s="4">
        <f>C118</f>
        <v>242</v>
      </c>
      <c r="D132" s="4">
        <f>D118</f>
        <v>255</v>
      </c>
      <c r="E132" s="4">
        <f>E118</f>
        <v>270</v>
      </c>
      <c r="F132" s="4">
        <f>F118</f>
        <v>270</v>
      </c>
      <c r="G132" s="4">
        <f>G118</f>
        <v>270</v>
      </c>
      <c r="H132" s="34">
        <f>2</f>
        <v>2</v>
      </c>
      <c r="I132" s="34">
        <f>H132*1.07</f>
        <v>2.14</v>
      </c>
      <c r="J132" s="34">
        <f>I132*1.07</f>
        <v>2.2898</v>
      </c>
      <c r="K132" s="34">
        <f>J132</f>
        <v>2.2898</v>
      </c>
      <c r="L132" s="34">
        <f>K132</f>
        <v>2.2898</v>
      </c>
    </row>
    <row r="133" spans="1:12" ht="24.75" customHeight="1">
      <c r="A133" s="7" t="s">
        <v>85</v>
      </c>
      <c r="B133" s="4" t="str">
        <f>B132</f>
        <v>чел.</v>
      </c>
      <c r="C133" s="4">
        <f>C132</f>
        <v>242</v>
      </c>
      <c r="D133" s="4">
        <f>D132</f>
        <v>255</v>
      </c>
      <c r="E133" s="4">
        <f>E132</f>
        <v>270</v>
      </c>
      <c r="F133" s="4">
        <f>F132</f>
        <v>270</v>
      </c>
      <c r="G133" s="4">
        <f>G132</f>
        <v>270</v>
      </c>
      <c r="H133" s="34">
        <f>H132</f>
        <v>2</v>
      </c>
      <c r="I133" s="34">
        <f>I132</f>
        <v>2.14</v>
      </c>
      <c r="J133" s="34">
        <f>J132</f>
        <v>2.2898</v>
      </c>
      <c r="K133" s="34">
        <f>K132</f>
        <v>2.2898</v>
      </c>
      <c r="L133" s="34">
        <f>L132</f>
        <v>2.2898</v>
      </c>
    </row>
    <row r="134" spans="1:12" ht="19.5" customHeight="1">
      <c r="A134" s="42" t="s">
        <v>17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4"/>
    </row>
    <row r="135" spans="1:12" ht="19.5" customHeight="1">
      <c r="A135" s="48" t="s">
        <v>18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50"/>
    </row>
    <row r="136" spans="1:13" ht="90">
      <c r="A136" s="7" t="s">
        <v>86</v>
      </c>
      <c r="B136" s="32" t="str">
        <f>B130</f>
        <v>чел.</v>
      </c>
      <c r="C136" s="32">
        <f>C130</f>
        <v>1270</v>
      </c>
      <c r="D136" s="32">
        <f>D130</f>
        <v>1290</v>
      </c>
      <c r="E136" s="32">
        <f>E130</f>
        <v>1295</v>
      </c>
      <c r="F136" s="32">
        <f>F130</f>
        <v>1295</v>
      </c>
      <c r="G136" s="32">
        <f>G130</f>
        <v>1295</v>
      </c>
      <c r="H136" s="22">
        <f>'Прил 2'!I47-H138</f>
        <v>8238.5</v>
      </c>
      <c r="I136" s="22">
        <f>'Прил 2'!J47-I138</f>
        <v>8815.195</v>
      </c>
      <c r="J136" s="22">
        <f>'Прил 2'!K47-J138</f>
        <v>9432.25865</v>
      </c>
      <c r="K136" s="22">
        <f>'Прил 2'!L47-K138</f>
        <v>9432.25865</v>
      </c>
      <c r="L136" s="22">
        <f>'Прил 2'!M47-L138</f>
        <v>9432.25865</v>
      </c>
      <c r="M136" s="37"/>
    </row>
    <row r="137" spans="1:12" ht="77.25">
      <c r="A137" s="7" t="s">
        <v>87</v>
      </c>
      <c r="B137" s="32" t="str">
        <f>B136</f>
        <v>чел.</v>
      </c>
      <c r="C137" s="32">
        <f>C136</f>
        <v>1270</v>
      </c>
      <c r="D137" s="32">
        <f>D136</f>
        <v>1290</v>
      </c>
      <c r="E137" s="32">
        <f>E136</f>
        <v>1295</v>
      </c>
      <c r="F137" s="32">
        <f>F136</f>
        <v>1295</v>
      </c>
      <c r="G137" s="32">
        <f>G136</f>
        <v>1295</v>
      </c>
      <c r="H137" s="22">
        <f>H136</f>
        <v>8238.5</v>
      </c>
      <c r="I137" s="22">
        <f>I136</f>
        <v>8815.195</v>
      </c>
      <c r="J137" s="22">
        <f>J136</f>
        <v>9432.25865</v>
      </c>
      <c r="K137" s="22">
        <f>K136</f>
        <v>9432.25865</v>
      </c>
      <c r="L137" s="22">
        <f>L136</f>
        <v>9432.25865</v>
      </c>
    </row>
    <row r="138" spans="1:12" ht="89.25" customHeight="1">
      <c r="A138" s="7" t="s">
        <v>84</v>
      </c>
      <c r="B138" s="32" t="str">
        <f>B132</f>
        <v>чел.</v>
      </c>
      <c r="C138" s="32">
        <f>C132</f>
        <v>242</v>
      </c>
      <c r="D138" s="32">
        <f>D132</f>
        <v>255</v>
      </c>
      <c r="E138" s="32">
        <f>E132</f>
        <v>270</v>
      </c>
      <c r="F138" s="32">
        <f>F132</f>
        <v>270</v>
      </c>
      <c r="G138" s="32">
        <f>G132</f>
        <v>270</v>
      </c>
      <c r="H138" s="22">
        <f>263.8</f>
        <v>263.8</v>
      </c>
      <c r="I138" s="22">
        <f>H138*1.07</f>
        <v>282.266</v>
      </c>
      <c r="J138" s="22">
        <f>I138*1.07</f>
        <v>302.02462</v>
      </c>
      <c r="K138" s="22">
        <f>J138</f>
        <v>302.02462</v>
      </c>
      <c r="L138" s="22">
        <f>K138</f>
        <v>302.02462</v>
      </c>
    </row>
    <row r="139" spans="1:12" ht="32.25" customHeight="1">
      <c r="A139" s="7" t="s">
        <v>85</v>
      </c>
      <c r="B139" s="32" t="str">
        <f>B138</f>
        <v>чел.</v>
      </c>
      <c r="C139" s="32">
        <f>C138</f>
        <v>242</v>
      </c>
      <c r="D139" s="32">
        <f>D138</f>
        <v>255</v>
      </c>
      <c r="E139" s="32">
        <f>E138</f>
        <v>270</v>
      </c>
      <c r="F139" s="32">
        <f>F138</f>
        <v>270</v>
      </c>
      <c r="G139" s="32">
        <f>G138</f>
        <v>270</v>
      </c>
      <c r="H139" s="22">
        <f>H138</f>
        <v>263.8</v>
      </c>
      <c r="I139" s="22">
        <f>I138</f>
        <v>282.266</v>
      </c>
      <c r="J139" s="22">
        <f>J138</f>
        <v>302.02462</v>
      </c>
      <c r="K139" s="22">
        <f>K138</f>
        <v>302.02462</v>
      </c>
      <c r="L139" s="22">
        <f>L138</f>
        <v>302.02462</v>
      </c>
    </row>
    <row r="140" spans="1:12" ht="15">
      <c r="A140" s="48" t="s">
        <v>19</v>
      </c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50"/>
    </row>
    <row r="141" spans="1:12" ht="90">
      <c r="A141" s="7" t="s">
        <v>86</v>
      </c>
      <c r="B141" s="32" t="str">
        <f>B136</f>
        <v>чел.</v>
      </c>
      <c r="C141" s="32">
        <f>C136</f>
        <v>1270</v>
      </c>
      <c r="D141" s="32">
        <f>D136</f>
        <v>1290</v>
      </c>
      <c r="E141" s="32">
        <f>E136</f>
        <v>1295</v>
      </c>
      <c r="F141" s="32">
        <f>F136</f>
        <v>1295</v>
      </c>
      <c r="G141" s="32">
        <f>G136</f>
        <v>1295</v>
      </c>
      <c r="H141" s="22"/>
      <c r="I141" s="22"/>
      <c r="J141" s="22"/>
      <c r="K141" s="22"/>
      <c r="L141" s="22"/>
    </row>
    <row r="142" spans="1:12" ht="77.25">
      <c r="A142" s="7" t="s">
        <v>87</v>
      </c>
      <c r="B142" s="32" t="str">
        <f>B141</f>
        <v>чел.</v>
      </c>
      <c r="C142" s="32">
        <f>C141</f>
        <v>1270</v>
      </c>
      <c r="D142" s="32">
        <f>D141</f>
        <v>1290</v>
      </c>
      <c r="E142" s="32">
        <f>E141</f>
        <v>1295</v>
      </c>
      <c r="F142" s="32">
        <f>F141</f>
        <v>1295</v>
      </c>
      <c r="G142" s="32">
        <f>G141</f>
        <v>1295</v>
      </c>
      <c r="H142" s="22"/>
      <c r="I142" s="22"/>
      <c r="J142" s="22"/>
      <c r="K142" s="22"/>
      <c r="L142" s="22"/>
    </row>
    <row r="143" spans="1:12" ht="90" customHeight="1">
      <c r="A143" s="7" t="s">
        <v>84</v>
      </c>
      <c r="B143" s="32" t="str">
        <f>B138</f>
        <v>чел.</v>
      </c>
      <c r="C143" s="32">
        <f>C138</f>
        <v>242</v>
      </c>
      <c r="D143" s="32">
        <f>D138</f>
        <v>255</v>
      </c>
      <c r="E143" s="32">
        <f>E138</f>
        <v>270</v>
      </c>
      <c r="F143" s="32">
        <f>F138</f>
        <v>270</v>
      </c>
      <c r="G143" s="32">
        <f>G138</f>
        <v>270</v>
      </c>
      <c r="H143" s="22"/>
      <c r="I143" s="22"/>
      <c r="J143" s="22"/>
      <c r="K143" s="22"/>
      <c r="L143" s="22"/>
    </row>
    <row r="144" spans="1:12" ht="26.25">
      <c r="A144" s="7" t="s">
        <v>85</v>
      </c>
      <c r="B144" s="32" t="str">
        <f>B143</f>
        <v>чел.</v>
      </c>
      <c r="C144" s="32">
        <f>C143</f>
        <v>242</v>
      </c>
      <c r="D144" s="32">
        <f>D143</f>
        <v>255</v>
      </c>
      <c r="E144" s="32">
        <f>E143</f>
        <v>270</v>
      </c>
      <c r="F144" s="32">
        <f>F143</f>
        <v>270</v>
      </c>
      <c r="G144" s="32">
        <f>G143</f>
        <v>270</v>
      </c>
      <c r="H144" s="22"/>
      <c r="I144" s="22"/>
      <c r="J144" s="22"/>
      <c r="K144" s="22"/>
      <c r="L144" s="22"/>
    </row>
    <row r="145" spans="1:12" ht="15">
      <c r="A145" s="42" t="s">
        <v>81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4"/>
    </row>
    <row r="146" spans="1:12" ht="24" customHeight="1">
      <c r="A146" s="45" t="s">
        <v>80</v>
      </c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7"/>
    </row>
    <row r="147" spans="1:12" ht="90">
      <c r="A147" s="7" t="s">
        <v>86</v>
      </c>
      <c r="B147" s="32" t="str">
        <f>B141</f>
        <v>чел.</v>
      </c>
      <c r="C147" s="32">
        <f>C141</f>
        <v>1270</v>
      </c>
      <c r="D147" s="32">
        <f>D141</f>
        <v>1290</v>
      </c>
      <c r="E147" s="32">
        <f>E141</f>
        <v>1295</v>
      </c>
      <c r="F147" s="32">
        <f>F141</f>
        <v>1295</v>
      </c>
      <c r="G147" s="32">
        <f>G141</f>
        <v>1295</v>
      </c>
      <c r="H147" s="22">
        <f>'Прил 2'!I50</f>
        <v>2206.21</v>
      </c>
      <c r="I147" s="22">
        <f>'Прил 2'!J50</f>
        <v>2360.6447</v>
      </c>
      <c r="J147" s="22">
        <f>'Прил 2'!K50</f>
        <v>2525.889829</v>
      </c>
      <c r="K147" s="22">
        <f>'Прил 2'!L50</f>
        <v>2525.889829</v>
      </c>
      <c r="L147" s="22">
        <f>'Прил 2'!M50</f>
        <v>2525.889829</v>
      </c>
    </row>
    <row r="148" spans="1:12" ht="77.25">
      <c r="A148" s="7" t="s">
        <v>87</v>
      </c>
      <c r="B148" s="32" t="str">
        <f>B147</f>
        <v>чел.</v>
      </c>
      <c r="C148" s="32">
        <f>C147</f>
        <v>1270</v>
      </c>
      <c r="D148" s="32">
        <f>D147</f>
        <v>1290</v>
      </c>
      <c r="E148" s="32">
        <f>E147</f>
        <v>1295</v>
      </c>
      <c r="F148" s="32">
        <f>F147</f>
        <v>1295</v>
      </c>
      <c r="G148" s="32">
        <f>G147</f>
        <v>1295</v>
      </c>
      <c r="H148" s="22">
        <f>H147</f>
        <v>2206.21</v>
      </c>
      <c r="I148" s="22">
        <f>I147</f>
        <v>2360.6447</v>
      </c>
      <c r="J148" s="22">
        <f>J147</f>
        <v>2525.889829</v>
      </c>
      <c r="K148" s="22">
        <f>K147</f>
        <v>2525.889829</v>
      </c>
      <c r="L148" s="22">
        <f>L147</f>
        <v>2525.889829</v>
      </c>
    </row>
    <row r="149" spans="1:12" ht="15">
      <c r="A149" s="48" t="s">
        <v>35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50"/>
    </row>
    <row r="150" spans="1:12" ht="90">
      <c r="A150" s="7" t="s">
        <v>86</v>
      </c>
      <c r="B150" s="32" t="str">
        <f>B147</f>
        <v>чел.</v>
      </c>
      <c r="C150" s="32">
        <f>C147</f>
        <v>1270</v>
      </c>
      <c r="D150" s="32">
        <f>D147</f>
        <v>1290</v>
      </c>
      <c r="E150" s="32">
        <f>E147</f>
        <v>1295</v>
      </c>
      <c r="F150" s="32">
        <f>F147</f>
        <v>1295</v>
      </c>
      <c r="G150" s="32">
        <f>G147</f>
        <v>1295</v>
      </c>
      <c r="H150" s="22"/>
      <c r="I150" s="22"/>
      <c r="J150" s="22"/>
      <c r="K150" s="22"/>
      <c r="L150" s="22"/>
    </row>
    <row r="151" spans="1:12" ht="77.25">
      <c r="A151" s="7" t="s">
        <v>87</v>
      </c>
      <c r="B151" s="32" t="str">
        <f>B150</f>
        <v>чел.</v>
      </c>
      <c r="C151" s="32">
        <f>C150</f>
        <v>1270</v>
      </c>
      <c r="D151" s="32">
        <f>D150</f>
        <v>1290</v>
      </c>
      <c r="E151" s="32">
        <f>E150</f>
        <v>1295</v>
      </c>
      <c r="F151" s="32">
        <f>F150</f>
        <v>1295</v>
      </c>
      <c r="G151" s="32">
        <f>G150</f>
        <v>1295</v>
      </c>
      <c r="H151" s="22"/>
      <c r="I151" s="22"/>
      <c r="J151" s="22"/>
      <c r="K151" s="22"/>
      <c r="L151" s="22"/>
    </row>
    <row r="152" spans="1:12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1:12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1:12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1:12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1:12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1:12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1:12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1:12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1:12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1:12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1:12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1:12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1:12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1:12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1:12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1:12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1:12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1:12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1:12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1:12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1:12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1:12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1:12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1:12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1:12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1:12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1:12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1:12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1:12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1:12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1:12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1:12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1:12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1:12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1:12" ht="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1:12" ht="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1:12" ht="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1:12" ht="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1:12" ht="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1:12" ht="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1:12" ht="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1:12" ht="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1:12" ht="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1:12" ht="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1:12" ht="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1:12" ht="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1:12" ht="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1:12" ht="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1:12" ht="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1:12" ht="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1:12" ht="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1:12" ht="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1:12" ht="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1:12" ht="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1:12" ht="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1:12" ht="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1:12" ht="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1:12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1:12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1:12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1:12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1:12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1:12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1:12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1:12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1:12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1:12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1:12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1:12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1:12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1:12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1:12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1:12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1:12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1:12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1:12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1:12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1:12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1:12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1:12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1:12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1:12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1:12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1:12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1:12" ht="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1:12" ht="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1:12" ht="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1:12" ht="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1:12" ht="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1:12" ht="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1:12" ht="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1:12" ht="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1:12" ht="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1:12" ht="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1:12" ht="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1:12" ht="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1:12" ht="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1:12" ht="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1:12" ht="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1:12" ht="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1:12" ht="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1:12" ht="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1:12" ht="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1:12" ht="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1:12" ht="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1:12" ht="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1:12" ht="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1:12" ht="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1:12" ht="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1:12" ht="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1:12" ht="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1:12" ht="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1:12" ht="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1:12" ht="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1:12" ht="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1:12" ht="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1:12" ht="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1:12" ht="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1:12" ht="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1:12" ht="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1:12" ht="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1:12" ht="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1:12" ht="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1:12" ht="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1:12" ht="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1:12" ht="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1:12" ht="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1:12" ht="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1:12" ht="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1:12" ht="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1:12" ht="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1:12" ht="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1:12" ht="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1:12" ht="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1:12" ht="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1:12" ht="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1:12" ht="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1:12" ht="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1:12" ht="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1:12" ht="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1:12" ht="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1:12" ht="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1:12" ht="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1:12" ht="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1:12" ht="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1:12" ht="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1:12" ht="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1:12" ht="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1:12" ht="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1:12" ht="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1:12" ht="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1:12" ht="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1:12" ht="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1:12" ht="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1:12" ht="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1:12" ht="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1:12" ht="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1:12" ht="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1:12" ht="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1:12" ht="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1:12" ht="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1:12" ht="1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1:12" ht="1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1:12" ht="1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1:12" ht="1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1:12" ht="1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1:12" ht="1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1:12" ht="1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1:12" ht="1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1:12" ht="1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1:12" ht="1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1:12" ht="1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1:12" ht="1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1:12" ht="1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1:12" ht="1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1:12" ht="1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1:12" ht="1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1:12" ht="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1:12" ht="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1:12" ht="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1:12" ht="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1:12" ht="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1:12" ht="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1:12" ht="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1:12" ht="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1:12" ht="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1:12" ht="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1:12" ht="1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1:12" ht="1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1:12" ht="1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1:12" ht="1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1:12" ht="1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1:12" ht="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1:12" ht="1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1:12" ht="1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1:12" ht="1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1:12" ht="1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1:12" ht="1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1:12" ht="1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1:12" ht="1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1:12" ht="1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1:12" ht="1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1:12" ht="1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1:12" ht="1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1:12" ht="1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1:12" ht="1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1:12" ht="1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1:12" ht="1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1:12" ht="1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1:12" ht="1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1:12" ht="1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1:12" ht="1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1:12" ht="1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1:12" ht="1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1:12" ht="1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1:12" ht="1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1:12" ht="1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1:12" ht="1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1:12" ht="1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1:12" ht="1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1:12" ht="1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1:12" ht="1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1:12" ht="1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1:12" ht="1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1:12" ht="1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1:12" ht="1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1:12" ht="1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1:12" ht="1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1:12" ht="1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1:12" ht="1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1:12" ht="1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</sheetData>
  <sheetProtection/>
  <mergeCells count="49">
    <mergeCell ref="A46:L46"/>
    <mergeCell ref="A24:L24"/>
    <mergeCell ref="A27:L27"/>
    <mergeCell ref="A30:L30"/>
    <mergeCell ref="A33:L33"/>
    <mergeCell ref="A36:L36"/>
    <mergeCell ref="A39:L39"/>
    <mergeCell ref="A42:L42"/>
    <mergeCell ref="A149:L149"/>
    <mergeCell ref="A100:L100"/>
    <mergeCell ref="A105:L105"/>
    <mergeCell ref="A129:L129"/>
    <mergeCell ref="A110:L110"/>
    <mergeCell ref="A115:L115"/>
    <mergeCell ref="A120:L120"/>
    <mergeCell ref="A123:L123"/>
    <mergeCell ref="A126:L126"/>
    <mergeCell ref="A84:L84"/>
    <mergeCell ref="G2:L2"/>
    <mergeCell ref="G3:L3"/>
    <mergeCell ref="A95:L95"/>
    <mergeCell ref="A140:L140"/>
    <mergeCell ref="A11:L11"/>
    <mergeCell ref="A5:L5"/>
    <mergeCell ref="A6:L6"/>
    <mergeCell ref="A8:A9"/>
    <mergeCell ref="B8:B9"/>
    <mergeCell ref="C8:G8"/>
    <mergeCell ref="H8:L8"/>
    <mergeCell ref="A15:L15"/>
    <mergeCell ref="A18:L18"/>
    <mergeCell ref="A21:L21"/>
    <mergeCell ref="A45:L45"/>
    <mergeCell ref="H1:K1"/>
    <mergeCell ref="A145:L145"/>
    <mergeCell ref="A146:L146"/>
    <mergeCell ref="A51:L51"/>
    <mergeCell ref="A59:L59"/>
    <mergeCell ref="A64:L64"/>
    <mergeCell ref="A134:L134"/>
    <mergeCell ref="A135:L135"/>
    <mergeCell ref="A69:L69"/>
    <mergeCell ref="A72:L72"/>
    <mergeCell ref="A75:L75"/>
    <mergeCell ref="A78:L78"/>
    <mergeCell ref="A87:L87"/>
    <mergeCell ref="A90:L90"/>
    <mergeCell ref="A56:L56"/>
    <mergeCell ref="A81:L8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PageLayoutView="0" workbookViewId="0" topLeftCell="C1">
      <selection activeCell="N11" sqref="N11:P50"/>
    </sheetView>
  </sheetViews>
  <sheetFormatPr defaultColWidth="9.140625" defaultRowHeight="15"/>
  <cols>
    <col min="1" max="1" width="6.57421875" style="0" customWidth="1"/>
    <col min="2" max="2" width="29.00390625" style="0" customWidth="1"/>
    <col min="3" max="3" width="15.140625" style="0" customWidth="1"/>
    <col min="4" max="4" width="12.00390625" style="0" customWidth="1"/>
    <col min="5" max="5" width="11.140625" style="0" customWidth="1"/>
    <col min="6" max="6" width="10.57421875" style="0" customWidth="1"/>
    <col min="7" max="7" width="10.7109375" style="0" customWidth="1"/>
    <col min="8" max="8" width="10.57421875" style="0" customWidth="1"/>
    <col min="9" max="10" width="11.28125" style="0" customWidth="1"/>
    <col min="11" max="11" width="10.7109375" style="0" customWidth="1"/>
    <col min="12" max="12" width="10.57421875" style="0" customWidth="1"/>
    <col min="13" max="13" width="11.421875" style="0" customWidth="1"/>
    <col min="14" max="14" width="10.140625" style="0" customWidth="1"/>
  </cols>
  <sheetData>
    <row r="1" spans="9:13" ht="15">
      <c r="I1" s="41" t="s">
        <v>36</v>
      </c>
      <c r="J1" s="41"/>
      <c r="K1" s="41"/>
      <c r="L1" s="41"/>
      <c r="M1" s="41"/>
    </row>
    <row r="2" spans="8:13" ht="15">
      <c r="H2" s="54" t="s">
        <v>1</v>
      </c>
      <c r="I2" s="54"/>
      <c r="J2" s="54"/>
      <c r="K2" s="54"/>
      <c r="L2" s="54"/>
      <c r="M2" s="54"/>
    </row>
    <row r="3" spans="8:13" ht="15">
      <c r="H3" s="54" t="s">
        <v>73</v>
      </c>
      <c r="I3" s="54"/>
      <c r="J3" s="54"/>
      <c r="K3" s="54"/>
      <c r="L3" s="54"/>
      <c r="M3" s="54"/>
    </row>
    <row r="4" spans="8:13" ht="15">
      <c r="H4" s="2"/>
      <c r="I4" s="2"/>
      <c r="J4" s="2"/>
      <c r="K4" s="2"/>
      <c r="L4" s="2"/>
      <c r="M4" s="2"/>
    </row>
    <row r="5" spans="1:13" ht="16.5">
      <c r="A5" s="55" t="s">
        <v>37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9:13" ht="15">
      <c r="I6" s="27"/>
      <c r="J6" s="27"/>
      <c r="K6" s="27"/>
      <c r="L6" s="27"/>
      <c r="M6" s="27"/>
    </row>
    <row r="7" spans="1:13" ht="30.75" customHeight="1">
      <c r="A7" s="64" t="s">
        <v>38</v>
      </c>
      <c r="B7" s="64" t="s">
        <v>39</v>
      </c>
      <c r="C7" s="64" t="s">
        <v>40</v>
      </c>
      <c r="D7" s="58" t="s">
        <v>41</v>
      </c>
      <c r="E7" s="59"/>
      <c r="F7" s="59"/>
      <c r="G7" s="60"/>
      <c r="H7" s="58" t="s">
        <v>64</v>
      </c>
      <c r="I7" s="59"/>
      <c r="J7" s="59"/>
      <c r="K7" s="59"/>
      <c r="L7" s="59"/>
      <c r="M7" s="60"/>
    </row>
    <row r="8" spans="1:20" ht="47.25" customHeight="1">
      <c r="A8" s="65"/>
      <c r="B8" s="65"/>
      <c r="C8" s="65"/>
      <c r="D8" s="4" t="s">
        <v>42</v>
      </c>
      <c r="E8" s="4" t="s">
        <v>43</v>
      </c>
      <c r="F8" s="4" t="s">
        <v>44</v>
      </c>
      <c r="G8" s="4" t="s">
        <v>45</v>
      </c>
      <c r="H8" s="4" t="s">
        <v>46</v>
      </c>
      <c r="I8" s="4" t="s">
        <v>47</v>
      </c>
      <c r="J8" s="4" t="s">
        <v>48</v>
      </c>
      <c r="K8" s="4" t="s">
        <v>49</v>
      </c>
      <c r="L8" s="4" t="s">
        <v>50</v>
      </c>
      <c r="M8" s="4" t="s">
        <v>51</v>
      </c>
      <c r="O8" s="8"/>
      <c r="P8" s="8"/>
      <c r="Q8" s="8"/>
      <c r="R8" s="8"/>
      <c r="S8" s="8"/>
      <c r="T8" s="8"/>
    </row>
    <row r="9" spans="1:13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</row>
    <row r="10" spans="1:13" ht="60">
      <c r="A10" s="3"/>
      <c r="B10" s="11" t="s">
        <v>52</v>
      </c>
      <c r="C10" s="10" t="s">
        <v>53</v>
      </c>
      <c r="D10" s="9"/>
      <c r="E10" s="9"/>
      <c r="F10" s="9"/>
      <c r="G10" s="9"/>
      <c r="H10" s="31">
        <f>I10+J10+K10+L10+M10</f>
        <v>1954709.0799270007</v>
      </c>
      <c r="I10" s="31">
        <f>I11+I23+I46+I49</f>
        <v>308786.01</v>
      </c>
      <c r="J10" s="31">
        <f>J11+J23+J46+J49</f>
        <v>414911.73870000005</v>
      </c>
      <c r="K10" s="31">
        <f>K11+K23+K46+K49</f>
        <v>436637.11040900013</v>
      </c>
      <c r="L10" s="31">
        <f>L11+L23+L46+L49</f>
        <v>397187.11040900013</v>
      </c>
      <c r="M10" s="31">
        <f>M11+M23+M46+M49</f>
        <v>397187.11040900013</v>
      </c>
    </row>
    <row r="11" spans="1:14" ht="59.25" customHeight="1">
      <c r="A11" s="3"/>
      <c r="B11" s="13" t="s">
        <v>11</v>
      </c>
      <c r="C11" s="10" t="s">
        <v>53</v>
      </c>
      <c r="D11" s="3"/>
      <c r="E11" s="3"/>
      <c r="F11" s="3"/>
      <c r="G11" s="3"/>
      <c r="H11" s="31">
        <f aca="true" t="shared" si="0" ref="H11:H51">I11+J11+K11+L11+M11</f>
        <v>200052.57968999998</v>
      </c>
      <c r="I11" s="31">
        <f>SUM(I12:I22)</f>
        <v>36112.7</v>
      </c>
      <c r="J11" s="31">
        <f>SUM(J12:J22)</f>
        <v>38940.58900000001</v>
      </c>
      <c r="K11" s="31">
        <f>SUM(K12:K22)</f>
        <v>41666.43023</v>
      </c>
      <c r="L11" s="31">
        <f>SUM(L12:L22)</f>
        <v>41666.43023</v>
      </c>
      <c r="M11" s="31">
        <f>SUM(M12:M22)</f>
        <v>41666.43023</v>
      </c>
      <c r="N11" s="28"/>
    </row>
    <row r="12" spans="1:13" ht="63" customHeight="1">
      <c r="A12" s="3"/>
      <c r="B12" s="17" t="s">
        <v>12</v>
      </c>
      <c r="C12" s="10" t="s">
        <v>53</v>
      </c>
      <c r="D12" s="3"/>
      <c r="E12" s="3"/>
      <c r="F12" s="3"/>
      <c r="G12" s="3"/>
      <c r="H12" s="31">
        <f t="shared" si="0"/>
        <v>184667.27184</v>
      </c>
      <c r="I12" s="31">
        <f>'Прил 3'!E21</f>
        <v>33547.2</v>
      </c>
      <c r="J12" s="31">
        <f>'Прил 3'!F21</f>
        <v>35895.504</v>
      </c>
      <c r="K12" s="31">
        <f>'Прил 3'!G21</f>
        <v>38408.189280000006</v>
      </c>
      <c r="L12" s="31">
        <f>'Прил 3'!H21</f>
        <v>38408.189280000006</v>
      </c>
      <c r="M12" s="31">
        <f>'Прил 3'!I21</f>
        <v>38408.189280000006</v>
      </c>
    </row>
    <row r="13" spans="1:14" ht="52.5" customHeight="1">
      <c r="A13" s="3"/>
      <c r="B13" s="17" t="s">
        <v>75</v>
      </c>
      <c r="C13" s="10" t="s">
        <v>53</v>
      </c>
      <c r="D13" s="3"/>
      <c r="E13" s="3"/>
      <c r="F13" s="3"/>
      <c r="G13" s="3"/>
      <c r="H13" s="31">
        <f t="shared" si="0"/>
        <v>0</v>
      </c>
      <c r="I13" s="31"/>
      <c r="J13" s="31"/>
      <c r="K13" s="31"/>
      <c r="L13" s="31"/>
      <c r="M13" s="31"/>
      <c r="N13" s="28"/>
    </row>
    <row r="14" spans="1:13" ht="111" customHeight="1">
      <c r="A14" s="3"/>
      <c r="B14" s="17" t="s">
        <v>13</v>
      </c>
      <c r="C14" s="10" t="s">
        <v>53</v>
      </c>
      <c r="D14" s="3"/>
      <c r="E14" s="3"/>
      <c r="F14" s="3"/>
      <c r="G14" s="3"/>
      <c r="H14" s="31">
        <f t="shared" si="0"/>
        <v>0</v>
      </c>
      <c r="I14" s="31"/>
      <c r="J14" s="31"/>
      <c r="K14" s="31"/>
      <c r="L14" s="31"/>
      <c r="M14" s="31"/>
    </row>
    <row r="15" spans="1:13" ht="81" customHeight="1">
      <c r="A15" s="3"/>
      <c r="B15" s="24" t="s">
        <v>83</v>
      </c>
      <c r="C15" s="10" t="s">
        <v>53</v>
      </c>
      <c r="D15" s="3"/>
      <c r="E15" s="3"/>
      <c r="F15" s="3"/>
      <c r="G15" s="3"/>
      <c r="H15" s="31">
        <f t="shared" si="0"/>
        <v>8105.120279999999</v>
      </c>
      <c r="I15" s="31">
        <f>'Прил 3'!E39</f>
        <v>1472.3999999999999</v>
      </c>
      <c r="J15" s="31">
        <f>'Прил 3'!F39</f>
        <v>1575.4679999999998</v>
      </c>
      <c r="K15" s="31">
        <f>'Прил 3'!G39</f>
        <v>1685.75076</v>
      </c>
      <c r="L15" s="31">
        <f>'Прил 3'!H39</f>
        <v>1685.75076</v>
      </c>
      <c r="M15" s="31">
        <f>'Прил 3'!I39</f>
        <v>1685.75076</v>
      </c>
    </row>
    <row r="16" spans="1:14" ht="51">
      <c r="A16" s="3"/>
      <c r="B16" s="25" t="s">
        <v>82</v>
      </c>
      <c r="C16" s="10" t="s">
        <v>53</v>
      </c>
      <c r="D16" s="3"/>
      <c r="E16" s="3"/>
      <c r="F16" s="3"/>
      <c r="G16" s="3"/>
      <c r="H16" s="31">
        <f t="shared" si="0"/>
        <v>2752.3500000000004</v>
      </c>
      <c r="I16" s="31">
        <f>'Прил 3'!E45</f>
        <v>500</v>
      </c>
      <c r="J16" s="31">
        <f>'Прил 3'!F45</f>
        <v>535</v>
      </c>
      <c r="K16" s="31">
        <f>'Прил 3'!G45</f>
        <v>572.45</v>
      </c>
      <c r="L16" s="31">
        <f>'Прил 3'!H45</f>
        <v>572.45</v>
      </c>
      <c r="M16" s="31">
        <f>'Прил 3'!I45</f>
        <v>572.45</v>
      </c>
      <c r="N16" s="28"/>
    </row>
    <row r="17" spans="1:14" ht="51">
      <c r="A17" s="3"/>
      <c r="B17" s="25" t="s">
        <v>27</v>
      </c>
      <c r="C17" s="10" t="s">
        <v>53</v>
      </c>
      <c r="D17" s="3"/>
      <c r="E17" s="3"/>
      <c r="F17" s="3"/>
      <c r="G17" s="3"/>
      <c r="H17" s="31">
        <f t="shared" si="0"/>
        <v>1100.94</v>
      </c>
      <c r="I17" s="31">
        <f>'Прил 3'!E51</f>
        <v>200</v>
      </c>
      <c r="J17" s="31">
        <f>'Прил 3'!F51</f>
        <v>214</v>
      </c>
      <c r="K17" s="31">
        <f>'Прил 3'!G51</f>
        <v>228.98000000000002</v>
      </c>
      <c r="L17" s="31">
        <f>'Прил 3'!H51</f>
        <v>228.98000000000002</v>
      </c>
      <c r="M17" s="31">
        <f>'Прил 3'!I51</f>
        <v>228.98000000000002</v>
      </c>
      <c r="N17" s="28"/>
    </row>
    <row r="18" spans="1:14" ht="51">
      <c r="A18" s="3"/>
      <c r="B18" s="23" t="s">
        <v>79</v>
      </c>
      <c r="C18" s="10" t="s">
        <v>53</v>
      </c>
      <c r="D18" s="3"/>
      <c r="E18" s="3"/>
      <c r="F18" s="3"/>
      <c r="G18" s="3"/>
      <c r="H18" s="31">
        <f t="shared" si="0"/>
        <v>2237.8823700000003</v>
      </c>
      <c r="I18" s="31">
        <f>'Прил 3'!E57</f>
        <v>177.10000000000002</v>
      </c>
      <c r="J18" s="31">
        <f>'Прил 3'!F57</f>
        <v>489.49700000000007</v>
      </c>
      <c r="K18" s="31">
        <f>'Прил 3'!G57</f>
        <v>523.76179</v>
      </c>
      <c r="L18" s="31">
        <f>'Прил 3'!H57</f>
        <v>523.76179</v>
      </c>
      <c r="M18" s="31">
        <f>'Прил 3'!I57</f>
        <v>523.76179</v>
      </c>
      <c r="N18" s="28"/>
    </row>
    <row r="19" spans="1:14" ht="51">
      <c r="A19" s="3"/>
      <c r="B19" s="26" t="s">
        <v>28</v>
      </c>
      <c r="C19" s="10" t="s">
        <v>53</v>
      </c>
      <c r="D19" s="3"/>
      <c r="E19" s="3"/>
      <c r="F19" s="3"/>
      <c r="G19" s="3"/>
      <c r="H19" s="31">
        <f t="shared" si="0"/>
        <v>550.47</v>
      </c>
      <c r="I19" s="31">
        <f>'Прил 3'!E63</f>
        <v>100</v>
      </c>
      <c r="J19" s="31">
        <f>'Прил 3'!F63</f>
        <v>107</v>
      </c>
      <c r="K19" s="31">
        <f>'Прил 3'!G63</f>
        <v>114.49000000000001</v>
      </c>
      <c r="L19" s="31">
        <f>'Прил 3'!H63</f>
        <v>114.49000000000001</v>
      </c>
      <c r="M19" s="31">
        <f>'Прил 3'!I63</f>
        <v>114.49000000000001</v>
      </c>
      <c r="N19" s="28"/>
    </row>
    <row r="20" spans="1:14" ht="51">
      <c r="A20" s="3"/>
      <c r="B20" s="25" t="s">
        <v>29</v>
      </c>
      <c r="C20" s="10" t="s">
        <v>53</v>
      </c>
      <c r="D20" s="3"/>
      <c r="E20" s="3"/>
      <c r="F20" s="3"/>
      <c r="G20" s="3"/>
      <c r="H20" s="31">
        <f t="shared" si="0"/>
        <v>550.47</v>
      </c>
      <c r="I20" s="31">
        <f>'Прил 3'!E69</f>
        <v>100</v>
      </c>
      <c r="J20" s="31">
        <f>'Прил 3'!F69</f>
        <v>107</v>
      </c>
      <c r="K20" s="31">
        <f>'Прил 3'!G69</f>
        <v>114.49000000000001</v>
      </c>
      <c r="L20" s="31">
        <f>'Прил 3'!H69</f>
        <v>114.49000000000001</v>
      </c>
      <c r="M20" s="31">
        <f>'Прил 3'!I69</f>
        <v>114.49000000000001</v>
      </c>
      <c r="N20" s="28"/>
    </row>
    <row r="21" spans="1:14" ht="51">
      <c r="A21" s="3"/>
      <c r="B21" s="17" t="s">
        <v>30</v>
      </c>
      <c r="C21" s="10" t="s">
        <v>53</v>
      </c>
      <c r="D21" s="3"/>
      <c r="E21" s="3"/>
      <c r="F21" s="3"/>
      <c r="G21" s="3"/>
      <c r="H21" s="31">
        <f t="shared" si="0"/>
        <v>82.57050000000001</v>
      </c>
      <c r="I21" s="31">
        <f>'Прил 3'!E75</f>
        <v>15</v>
      </c>
      <c r="J21" s="31">
        <f>'Прил 3'!F75</f>
        <v>16.05</v>
      </c>
      <c r="K21" s="31">
        <f>'Прил 3'!G75</f>
        <v>17.1735</v>
      </c>
      <c r="L21" s="31">
        <f>'Прил 3'!H75</f>
        <v>17.1735</v>
      </c>
      <c r="M21" s="31">
        <f>'Прил 3'!I75</f>
        <v>17.1735</v>
      </c>
      <c r="N21" s="28"/>
    </row>
    <row r="22" spans="1:14" ht="51">
      <c r="A22" s="3"/>
      <c r="B22" s="17" t="s">
        <v>34</v>
      </c>
      <c r="C22" s="10" t="s">
        <v>53</v>
      </c>
      <c r="D22" s="3"/>
      <c r="E22" s="3"/>
      <c r="F22" s="3"/>
      <c r="G22" s="3"/>
      <c r="H22" s="31">
        <f t="shared" si="0"/>
        <v>5.5047</v>
      </c>
      <c r="I22" s="31">
        <f>'Прил 3'!E81</f>
        <v>1</v>
      </c>
      <c r="J22" s="31">
        <f>'Прил 3'!F81</f>
        <v>1.07</v>
      </c>
      <c r="K22" s="31">
        <f>'Прил 3'!G81</f>
        <v>1.1449</v>
      </c>
      <c r="L22" s="31">
        <f>'Прил 3'!H81</f>
        <v>1.1449</v>
      </c>
      <c r="M22" s="31">
        <f>'Прил 3'!I81</f>
        <v>1.1449</v>
      </c>
      <c r="N22" s="28"/>
    </row>
    <row r="23" spans="1:14" ht="51">
      <c r="A23" s="3"/>
      <c r="B23" s="12" t="s">
        <v>74</v>
      </c>
      <c r="C23" s="10" t="s">
        <v>53</v>
      </c>
      <c r="D23" s="3"/>
      <c r="E23" s="3"/>
      <c r="F23" s="3"/>
      <c r="G23" s="3"/>
      <c r="H23" s="31">
        <f t="shared" si="0"/>
        <v>1695709.3652400004</v>
      </c>
      <c r="I23" s="31">
        <f>SUM(I24:I45)</f>
        <v>261964.8</v>
      </c>
      <c r="J23" s="31">
        <f>SUM(J24:J45)</f>
        <v>364513.044</v>
      </c>
      <c r="K23" s="31">
        <f>SUM(K24:K45)</f>
        <v>382710.5070800001</v>
      </c>
      <c r="L23" s="31">
        <f>SUM(L24:L45)</f>
        <v>343260.5070800001</v>
      </c>
      <c r="M23" s="31">
        <f>SUM(M24:M45)</f>
        <v>343260.5070800001</v>
      </c>
      <c r="N23" s="28"/>
    </row>
    <row r="24" spans="1:14" ht="60.75">
      <c r="A24" s="3"/>
      <c r="B24" s="17" t="s">
        <v>14</v>
      </c>
      <c r="C24" s="10" t="s">
        <v>53</v>
      </c>
      <c r="D24" s="3"/>
      <c r="E24" s="3"/>
      <c r="F24" s="3"/>
      <c r="G24" s="3"/>
      <c r="H24" s="31">
        <f t="shared" si="0"/>
        <v>542857.48069</v>
      </c>
      <c r="I24" s="31">
        <f>'Прил 3'!E93</f>
        <v>52103.3</v>
      </c>
      <c r="J24" s="31">
        <f>'Прил 3'!F93</f>
        <v>116568.689</v>
      </c>
      <c r="K24" s="31">
        <f>'Прил 3'!G93</f>
        <v>124728.49723000001</v>
      </c>
      <c r="L24" s="31">
        <f>'Прил 3'!H93</f>
        <v>124728.49723000001</v>
      </c>
      <c r="M24" s="31">
        <f>'Прил 3'!I93</f>
        <v>124728.49723000001</v>
      </c>
      <c r="N24" s="28"/>
    </row>
    <row r="25" spans="1:13" ht="60.75">
      <c r="A25" s="3"/>
      <c r="B25" s="17" t="s">
        <v>76</v>
      </c>
      <c r="C25" s="10" t="s">
        <v>53</v>
      </c>
      <c r="D25" s="3"/>
      <c r="E25" s="3"/>
      <c r="F25" s="3"/>
      <c r="G25" s="3"/>
      <c r="H25" s="31">
        <f t="shared" si="0"/>
        <v>848030.41179</v>
      </c>
      <c r="I25" s="31">
        <f>'Прил 3'!E99</f>
        <v>154055.7</v>
      </c>
      <c r="J25" s="31">
        <f>'Прил 3'!F99</f>
        <v>164839.59900000002</v>
      </c>
      <c r="K25" s="31">
        <f>'Прил 3'!G99</f>
        <v>176378.37093000003</v>
      </c>
      <c r="L25" s="31">
        <f>'Прил 3'!H99</f>
        <v>176378.37093000003</v>
      </c>
      <c r="M25" s="31">
        <f>'Прил 3'!I99</f>
        <v>176378.37093000003</v>
      </c>
    </row>
    <row r="26" spans="1:13" ht="80.25" customHeight="1">
      <c r="A26" s="3"/>
      <c r="B26" s="36" t="s">
        <v>89</v>
      </c>
      <c r="C26" s="10"/>
      <c r="D26" s="3"/>
      <c r="E26" s="3"/>
      <c r="F26" s="3"/>
      <c r="G26" s="3"/>
      <c r="H26" s="31">
        <f t="shared" si="0"/>
        <v>5869.111140000001</v>
      </c>
      <c r="I26" s="31">
        <f>'Прил 3'!E107</f>
        <v>1066.2</v>
      </c>
      <c r="J26" s="31">
        <f>'Прил 3'!F107</f>
        <v>1140.834</v>
      </c>
      <c r="K26" s="31">
        <f>'Прил 3'!G107</f>
        <v>1220.6923800000002</v>
      </c>
      <c r="L26" s="31">
        <f>'Прил 3'!H107</f>
        <v>1220.6923800000002</v>
      </c>
      <c r="M26" s="31">
        <f>'Прил 3'!I107</f>
        <v>1220.6923800000002</v>
      </c>
    </row>
    <row r="27" spans="1:13" ht="51">
      <c r="A27" s="3"/>
      <c r="B27" s="4" t="s">
        <v>54</v>
      </c>
      <c r="C27" s="10" t="s">
        <v>53</v>
      </c>
      <c r="D27" s="3"/>
      <c r="E27" s="3"/>
      <c r="F27" s="3"/>
      <c r="G27" s="3"/>
      <c r="H27" s="31">
        <f t="shared" si="0"/>
        <v>0</v>
      </c>
      <c r="I27" s="31"/>
      <c r="J27" s="31"/>
      <c r="K27" s="31"/>
      <c r="L27" s="31"/>
      <c r="M27" s="31"/>
    </row>
    <row r="28" spans="1:13" ht="101.25" customHeight="1">
      <c r="A28" s="3"/>
      <c r="B28" s="17" t="s">
        <v>77</v>
      </c>
      <c r="C28" s="10" t="s">
        <v>53</v>
      </c>
      <c r="D28" s="3"/>
      <c r="E28" s="3"/>
      <c r="F28" s="3"/>
      <c r="G28" s="3"/>
      <c r="H28" s="31">
        <f t="shared" si="0"/>
        <v>0</v>
      </c>
      <c r="I28" s="31"/>
      <c r="J28" s="31"/>
      <c r="K28" s="31"/>
      <c r="L28" s="31"/>
      <c r="M28" s="31"/>
    </row>
    <row r="29" spans="1:13" ht="41.25" customHeight="1">
      <c r="A29" s="3"/>
      <c r="B29" s="23" t="s">
        <v>20</v>
      </c>
      <c r="C29" s="10" t="s">
        <v>55</v>
      </c>
      <c r="D29" s="3"/>
      <c r="E29" s="3"/>
      <c r="F29" s="3"/>
      <c r="G29" s="3"/>
      <c r="H29" s="31">
        <f t="shared" si="0"/>
        <v>72450</v>
      </c>
      <c r="I29" s="31">
        <f>'Прил 3'!E123</f>
        <v>0</v>
      </c>
      <c r="J29" s="31">
        <f>'Прил 3'!F123</f>
        <v>35000</v>
      </c>
      <c r="K29" s="31">
        <f>'Прил 3'!G123</f>
        <v>37450</v>
      </c>
      <c r="L29" s="31">
        <f>'Прил 3'!H123</f>
        <v>0</v>
      </c>
      <c r="M29" s="31">
        <f>'Прил 3'!I123</f>
        <v>0</v>
      </c>
    </row>
    <row r="30" spans="1:13" ht="39" customHeight="1">
      <c r="A30" s="3"/>
      <c r="B30" s="23" t="s">
        <v>21</v>
      </c>
      <c r="C30" s="10" t="s">
        <v>55</v>
      </c>
      <c r="D30" s="3"/>
      <c r="E30" s="3"/>
      <c r="F30" s="3"/>
      <c r="G30" s="3"/>
      <c r="H30" s="31">
        <f t="shared" si="0"/>
        <v>7000</v>
      </c>
      <c r="I30" s="31">
        <f>'Прил 3'!E129</f>
        <v>7000</v>
      </c>
      <c r="J30" s="31">
        <f>'Прил 3'!F129</f>
        <v>0</v>
      </c>
      <c r="K30" s="31">
        <f>'Прил 3'!G129</f>
        <v>0</v>
      </c>
      <c r="L30" s="31">
        <f>'Прил 3'!H129</f>
        <v>0</v>
      </c>
      <c r="M30" s="31">
        <f>'Прил 3'!I129</f>
        <v>0</v>
      </c>
    </row>
    <row r="31" spans="1:13" ht="32.25" customHeight="1">
      <c r="A31" s="3"/>
      <c r="B31" s="23" t="s">
        <v>23</v>
      </c>
      <c r="C31" s="10" t="s">
        <v>55</v>
      </c>
      <c r="D31" s="3"/>
      <c r="E31" s="3"/>
      <c r="F31" s="3"/>
      <c r="G31" s="3"/>
      <c r="H31" s="31">
        <f t="shared" si="0"/>
        <v>10000</v>
      </c>
      <c r="I31" s="31">
        <f>'Прил 3'!E135</f>
        <v>10000</v>
      </c>
      <c r="J31" s="31">
        <f>'Прил 3'!F135</f>
        <v>0</v>
      </c>
      <c r="K31" s="31">
        <f>'Прил 3'!G135</f>
        <v>0</v>
      </c>
      <c r="L31" s="31">
        <f>'Прил 3'!H135</f>
        <v>0</v>
      </c>
      <c r="M31" s="31">
        <f>'Прил 3'!I135</f>
        <v>0</v>
      </c>
    </row>
    <row r="32" spans="1:13" ht="37.5" customHeight="1">
      <c r="A32" s="3"/>
      <c r="B32" s="23" t="s">
        <v>22</v>
      </c>
      <c r="C32" s="10" t="s">
        <v>55</v>
      </c>
      <c r="D32" s="3"/>
      <c r="E32" s="3"/>
      <c r="F32" s="3"/>
      <c r="G32" s="3"/>
      <c r="H32" s="31">
        <f t="shared" si="0"/>
        <v>1000</v>
      </c>
      <c r="I32" s="31">
        <f>'Прил 3'!E141</f>
        <v>1000</v>
      </c>
      <c r="J32" s="31">
        <f>'Прил 3'!F141</f>
        <v>0</v>
      </c>
      <c r="K32" s="31">
        <f>'Прил 3'!G141</f>
        <v>0</v>
      </c>
      <c r="L32" s="31">
        <f>'Прил 3'!H141</f>
        <v>0</v>
      </c>
      <c r="M32" s="31">
        <f>'Прил 3'!I141</f>
        <v>0</v>
      </c>
    </row>
    <row r="33" spans="1:13" ht="30" customHeight="1">
      <c r="A33" s="3"/>
      <c r="B33" s="23" t="s">
        <v>24</v>
      </c>
      <c r="C33" s="10" t="s">
        <v>55</v>
      </c>
      <c r="D33" s="3"/>
      <c r="E33" s="3"/>
      <c r="F33" s="3"/>
      <c r="G33" s="3"/>
      <c r="H33" s="31">
        <f t="shared" si="0"/>
        <v>2200</v>
      </c>
      <c r="I33" s="31">
        <f>'Прил 3'!E147</f>
        <v>0</v>
      </c>
      <c r="J33" s="31">
        <f>'Прил 3'!F147</f>
        <v>2200</v>
      </c>
      <c r="K33" s="31">
        <f>'Прил 3'!G147</f>
        <v>0</v>
      </c>
      <c r="L33" s="31">
        <f>'Прил 3'!H147</f>
        <v>0</v>
      </c>
      <c r="M33" s="31">
        <f>'Прил 3'!I147</f>
        <v>0</v>
      </c>
    </row>
    <row r="34" spans="1:13" ht="32.25" customHeight="1">
      <c r="A34" s="3"/>
      <c r="B34" s="23" t="s">
        <v>25</v>
      </c>
      <c r="C34" s="10" t="s">
        <v>55</v>
      </c>
      <c r="D34" s="3"/>
      <c r="E34" s="3"/>
      <c r="F34" s="3"/>
      <c r="G34" s="3"/>
      <c r="H34" s="31">
        <f t="shared" si="0"/>
        <v>5000</v>
      </c>
      <c r="I34" s="31">
        <f>'Прил 3'!E153</f>
        <v>0</v>
      </c>
      <c r="J34" s="31">
        <f>'Прил 3'!F153</f>
        <v>5000</v>
      </c>
      <c r="K34" s="31">
        <f>'Прил 3'!G153</f>
        <v>0</v>
      </c>
      <c r="L34" s="31">
        <f>'Прил 3'!H153</f>
        <v>0</v>
      </c>
      <c r="M34" s="31">
        <f>'Прил 3'!I153</f>
        <v>0</v>
      </c>
    </row>
    <row r="35" spans="1:13" ht="31.5" customHeight="1">
      <c r="A35" s="3"/>
      <c r="B35" s="23" t="s">
        <v>26</v>
      </c>
      <c r="C35" s="10" t="s">
        <v>55</v>
      </c>
      <c r="D35" s="3"/>
      <c r="E35" s="3"/>
      <c r="F35" s="3"/>
      <c r="G35" s="3"/>
      <c r="H35" s="31">
        <f t="shared" si="0"/>
        <v>2000</v>
      </c>
      <c r="I35" s="31">
        <f>'Прил 3'!E159</f>
        <v>0</v>
      </c>
      <c r="J35" s="31">
        <f>'Прил 3'!F159</f>
        <v>0</v>
      </c>
      <c r="K35" s="31">
        <f>'Прил 3'!G159</f>
        <v>2000</v>
      </c>
      <c r="L35" s="31">
        <f>'Прил 3'!H159</f>
        <v>0</v>
      </c>
      <c r="M35" s="31">
        <f>'Прил 3'!I159</f>
        <v>0</v>
      </c>
    </row>
    <row r="36" spans="1:13" ht="54" customHeight="1">
      <c r="A36" s="3"/>
      <c r="B36" s="23" t="s">
        <v>78</v>
      </c>
      <c r="C36" s="10" t="s">
        <v>53</v>
      </c>
      <c r="D36" s="3"/>
      <c r="E36" s="3"/>
      <c r="F36" s="3"/>
      <c r="G36" s="3"/>
      <c r="H36" s="31">
        <f t="shared" si="0"/>
        <v>22569.27</v>
      </c>
      <c r="I36" s="31">
        <f>'Прил 3'!E165</f>
        <v>4100</v>
      </c>
      <c r="J36" s="31">
        <f>'Прил 3'!F165</f>
        <v>4387</v>
      </c>
      <c r="K36" s="31">
        <f>'Прил 3'!G165</f>
        <v>4694.09</v>
      </c>
      <c r="L36" s="31">
        <f>'Прил 3'!H165</f>
        <v>4694.09</v>
      </c>
      <c r="M36" s="31">
        <f>'Прил 3'!I165</f>
        <v>4694.09</v>
      </c>
    </row>
    <row r="37" spans="1:13" ht="53.25" customHeight="1">
      <c r="A37" s="3"/>
      <c r="B37" s="23" t="s">
        <v>27</v>
      </c>
      <c r="C37" s="10" t="s">
        <v>53</v>
      </c>
      <c r="D37" s="3"/>
      <c r="E37" s="3"/>
      <c r="F37" s="3"/>
      <c r="G37" s="3"/>
      <c r="H37" s="31">
        <f t="shared" si="0"/>
        <v>4968</v>
      </c>
      <c r="I37" s="31">
        <f>'Прил 3'!E171</f>
        <v>1600</v>
      </c>
      <c r="J37" s="31">
        <f>'Прил 3'!F171</f>
        <v>800</v>
      </c>
      <c r="K37" s="31">
        <f>'Прил 3'!G171</f>
        <v>856</v>
      </c>
      <c r="L37" s="31">
        <f>'Прил 3'!H171</f>
        <v>856</v>
      </c>
      <c r="M37" s="31">
        <f>'Прил 3'!I171</f>
        <v>856</v>
      </c>
    </row>
    <row r="38" spans="1:13" ht="53.25" customHeight="1">
      <c r="A38" s="3"/>
      <c r="B38" s="23" t="s">
        <v>79</v>
      </c>
      <c r="C38" s="10" t="s">
        <v>53</v>
      </c>
      <c r="D38" s="3"/>
      <c r="E38" s="3"/>
      <c r="F38" s="3"/>
      <c r="G38" s="3"/>
      <c r="H38" s="31">
        <f t="shared" si="0"/>
        <v>157425.84246</v>
      </c>
      <c r="I38" s="31">
        <f>'Прил 3'!E177</f>
        <v>27221.8</v>
      </c>
      <c r="J38" s="31">
        <f>'Прил 3'!F177</f>
        <v>30927.326</v>
      </c>
      <c r="K38" s="31">
        <f>'Прил 3'!G177</f>
        <v>33092.23882</v>
      </c>
      <c r="L38" s="31">
        <f>'Прил 3'!H177</f>
        <v>33092.23882</v>
      </c>
      <c r="M38" s="31">
        <f>'Прил 3'!I177</f>
        <v>33092.23882</v>
      </c>
    </row>
    <row r="39" spans="1:13" ht="50.25" customHeight="1">
      <c r="A39" s="3"/>
      <c r="B39" s="23" t="s">
        <v>28</v>
      </c>
      <c r="C39" s="10" t="s">
        <v>53</v>
      </c>
      <c r="D39" s="3"/>
      <c r="E39" s="3"/>
      <c r="F39" s="3"/>
      <c r="G39" s="3"/>
      <c r="H39" s="31">
        <f t="shared" si="0"/>
        <v>900</v>
      </c>
      <c r="I39" s="31">
        <f>'Прил 3'!E183</f>
        <v>900</v>
      </c>
      <c r="J39" s="31">
        <f>'Прил 3'!F183</f>
        <v>0</v>
      </c>
      <c r="K39" s="31">
        <f>'Прил 3'!G183</f>
        <v>0</v>
      </c>
      <c r="L39" s="31">
        <f>'Прил 3'!H183</f>
        <v>0</v>
      </c>
      <c r="M39" s="31">
        <f>'Прил 3'!I183</f>
        <v>0</v>
      </c>
    </row>
    <row r="40" spans="1:13" ht="54" customHeight="1">
      <c r="A40" s="3"/>
      <c r="B40" s="23" t="s">
        <v>29</v>
      </c>
      <c r="C40" s="10" t="s">
        <v>53</v>
      </c>
      <c r="D40" s="3"/>
      <c r="E40" s="3"/>
      <c r="F40" s="3"/>
      <c r="G40" s="3"/>
      <c r="H40" s="31">
        <f t="shared" si="0"/>
        <v>900</v>
      </c>
      <c r="I40" s="31">
        <f>'Прил 3'!E189</f>
        <v>900</v>
      </c>
      <c r="J40" s="31">
        <f>'Прил 3'!F189</f>
        <v>0</v>
      </c>
      <c r="K40" s="31">
        <f>'Прил 3'!G189</f>
        <v>0</v>
      </c>
      <c r="L40" s="31">
        <f>'Прил 3'!H189</f>
        <v>0</v>
      </c>
      <c r="M40" s="31">
        <f>'Прил 3'!I189</f>
        <v>0</v>
      </c>
    </row>
    <row r="41" spans="1:13" ht="56.25" customHeight="1">
      <c r="A41" s="3"/>
      <c r="B41" s="23" t="s">
        <v>30</v>
      </c>
      <c r="C41" s="10" t="s">
        <v>53</v>
      </c>
      <c r="D41" s="3"/>
      <c r="E41" s="3"/>
      <c r="F41" s="3"/>
      <c r="G41" s="3"/>
      <c r="H41" s="31">
        <f t="shared" si="0"/>
        <v>675</v>
      </c>
      <c r="I41" s="31">
        <f>'Прил 3'!E195</f>
        <v>135</v>
      </c>
      <c r="J41" s="31">
        <f>'Прил 3'!F195</f>
        <v>135</v>
      </c>
      <c r="K41" s="31">
        <f>'Прил 3'!G195</f>
        <v>135</v>
      </c>
      <c r="L41" s="31">
        <f>'Прил 3'!H195</f>
        <v>135</v>
      </c>
      <c r="M41" s="31">
        <f>'Прил 3'!I195</f>
        <v>135</v>
      </c>
    </row>
    <row r="42" spans="1:13" ht="51" customHeight="1">
      <c r="A42" s="3"/>
      <c r="B42" s="23" t="s">
        <v>31</v>
      </c>
      <c r="C42" s="10" t="s">
        <v>53</v>
      </c>
      <c r="D42" s="3"/>
      <c r="E42" s="3"/>
      <c r="F42" s="3"/>
      <c r="G42" s="3"/>
      <c r="H42" s="31">
        <f t="shared" si="0"/>
        <v>1500</v>
      </c>
      <c r="I42" s="31">
        <f>'Прил 3'!E201</f>
        <v>0</v>
      </c>
      <c r="J42" s="31">
        <f>'Прил 3'!F201</f>
        <v>1500</v>
      </c>
      <c r="K42" s="31">
        <f>'Прил 3'!G201</f>
        <v>0</v>
      </c>
      <c r="L42" s="31">
        <f>'Прил 3'!H201</f>
        <v>0</v>
      </c>
      <c r="M42" s="31">
        <f>'Прил 3'!I201</f>
        <v>0</v>
      </c>
    </row>
    <row r="43" spans="1:13" ht="75.75" customHeight="1">
      <c r="A43" s="3"/>
      <c r="B43" s="23" t="s">
        <v>32</v>
      </c>
      <c r="C43" s="10" t="s">
        <v>53</v>
      </c>
      <c r="D43" s="3"/>
      <c r="E43" s="3"/>
      <c r="F43" s="3"/>
      <c r="G43" s="3"/>
      <c r="H43" s="31">
        <f t="shared" si="0"/>
        <v>825.705</v>
      </c>
      <c r="I43" s="31">
        <f>'Прил 3'!E207</f>
        <v>150</v>
      </c>
      <c r="J43" s="31">
        <f>'Прил 3'!F207</f>
        <v>160.5</v>
      </c>
      <c r="K43" s="31">
        <f>'Прил 3'!G207</f>
        <v>171.735</v>
      </c>
      <c r="L43" s="31">
        <f>'Прил 3'!H207</f>
        <v>171.735</v>
      </c>
      <c r="M43" s="31">
        <f>'Прил 3'!I207</f>
        <v>171.735</v>
      </c>
    </row>
    <row r="44" spans="1:13" ht="53.25" customHeight="1">
      <c r="A44" s="3"/>
      <c r="B44" s="23" t="s">
        <v>33</v>
      </c>
      <c r="C44" s="10" t="s">
        <v>53</v>
      </c>
      <c r="D44" s="3"/>
      <c r="E44" s="3"/>
      <c r="F44" s="3"/>
      <c r="G44" s="3"/>
      <c r="H44" s="31">
        <f t="shared" si="0"/>
        <v>9489.00186</v>
      </c>
      <c r="I44" s="31">
        <f>'Прил 3'!E213</f>
        <v>1723.8</v>
      </c>
      <c r="J44" s="31">
        <f>'Прил 3'!F213</f>
        <v>1844.4660000000001</v>
      </c>
      <c r="K44" s="31">
        <f>'Прил 3'!G213</f>
        <v>1973.5786200000002</v>
      </c>
      <c r="L44" s="31">
        <f>'Прил 3'!H213</f>
        <v>1973.5786200000002</v>
      </c>
      <c r="M44" s="31">
        <f>'Прил 3'!I213</f>
        <v>1973.5786200000002</v>
      </c>
    </row>
    <row r="45" spans="1:13" ht="54" customHeight="1">
      <c r="A45" s="3"/>
      <c r="B45" s="23" t="s">
        <v>34</v>
      </c>
      <c r="C45" s="10" t="s">
        <v>53</v>
      </c>
      <c r="D45" s="3"/>
      <c r="E45" s="3"/>
      <c r="F45" s="3"/>
      <c r="G45" s="3"/>
      <c r="H45" s="31">
        <f t="shared" si="0"/>
        <v>49.54230000000001</v>
      </c>
      <c r="I45" s="31">
        <f>'Прил 3'!E219</f>
        <v>9</v>
      </c>
      <c r="J45" s="31">
        <f>'Прил 3'!F219</f>
        <v>9.63</v>
      </c>
      <c r="K45" s="31">
        <f>'Прил 3'!G219</f>
        <v>10.304100000000002</v>
      </c>
      <c r="L45" s="31">
        <f>'Прил 3'!H219</f>
        <v>10.304100000000002</v>
      </c>
      <c r="M45" s="31">
        <f>'Прил 3'!I219</f>
        <v>10.304100000000002</v>
      </c>
    </row>
    <row r="46" spans="1:14" ht="51">
      <c r="A46" s="3"/>
      <c r="B46" s="12" t="s">
        <v>17</v>
      </c>
      <c r="C46" s="10" t="s">
        <v>53</v>
      </c>
      <c r="D46" s="3"/>
      <c r="E46" s="3"/>
      <c r="F46" s="3"/>
      <c r="G46" s="3"/>
      <c r="H46" s="31">
        <f t="shared" si="0"/>
        <v>46802.61081</v>
      </c>
      <c r="I46" s="31">
        <f>I47+I48</f>
        <v>8502.3</v>
      </c>
      <c r="J46" s="31">
        <f>J47+J48</f>
        <v>9097.461</v>
      </c>
      <c r="K46" s="31">
        <f>K47+K48</f>
        <v>9734.28327</v>
      </c>
      <c r="L46" s="31">
        <f>L47+L48</f>
        <v>9734.28327</v>
      </c>
      <c r="M46" s="31">
        <f>M47+M48</f>
        <v>9734.28327</v>
      </c>
      <c r="N46" s="29"/>
    </row>
    <row r="47" spans="1:13" ht="72.75">
      <c r="A47" s="3"/>
      <c r="B47" s="17" t="s">
        <v>18</v>
      </c>
      <c r="C47" s="10" t="s">
        <v>53</v>
      </c>
      <c r="D47" s="3"/>
      <c r="E47" s="3"/>
      <c r="F47" s="3"/>
      <c r="G47" s="3"/>
      <c r="H47" s="31">
        <f t="shared" si="0"/>
        <v>46802.61081</v>
      </c>
      <c r="I47" s="31">
        <f>'Прил 3'!E231</f>
        <v>8502.3</v>
      </c>
      <c r="J47" s="31">
        <f>'Прил 3'!F231</f>
        <v>9097.461</v>
      </c>
      <c r="K47" s="31">
        <f>'Прил 3'!G231</f>
        <v>9734.28327</v>
      </c>
      <c r="L47" s="31">
        <f>'Прил 3'!H231</f>
        <v>9734.28327</v>
      </c>
      <c r="M47" s="31">
        <f>'Прил 3'!I231</f>
        <v>9734.28327</v>
      </c>
    </row>
    <row r="48" spans="1:13" ht="51">
      <c r="A48" s="3"/>
      <c r="B48" s="23" t="s">
        <v>19</v>
      </c>
      <c r="C48" s="10" t="s">
        <v>53</v>
      </c>
      <c r="D48" s="3"/>
      <c r="E48" s="3"/>
      <c r="F48" s="3"/>
      <c r="G48" s="3"/>
      <c r="H48" s="31">
        <f t="shared" si="0"/>
        <v>0</v>
      </c>
      <c r="I48" s="31"/>
      <c r="J48" s="31"/>
      <c r="K48" s="31"/>
      <c r="L48" s="31"/>
      <c r="M48" s="31"/>
    </row>
    <row r="49" spans="1:13" ht="57.75">
      <c r="A49" s="3"/>
      <c r="B49" s="12" t="s">
        <v>81</v>
      </c>
      <c r="C49" s="10" t="s">
        <v>53</v>
      </c>
      <c r="D49" s="3"/>
      <c r="E49" s="3"/>
      <c r="F49" s="3"/>
      <c r="G49" s="3"/>
      <c r="H49" s="31">
        <f t="shared" si="0"/>
        <v>12144.524186999999</v>
      </c>
      <c r="I49" s="31">
        <f>SUM(I50:I51)</f>
        <v>2206.21</v>
      </c>
      <c r="J49" s="31">
        <f>SUM(J50:J51)</f>
        <v>2360.6447</v>
      </c>
      <c r="K49" s="31">
        <f>SUM(K50:K51)</f>
        <v>2525.889829</v>
      </c>
      <c r="L49" s="31">
        <f>SUM(L50:L51)</f>
        <v>2525.889829</v>
      </c>
      <c r="M49" s="31">
        <f>SUM(M50:M51)</f>
        <v>2525.889829</v>
      </c>
    </row>
    <row r="50" spans="1:13" ht="108.75">
      <c r="A50" s="3"/>
      <c r="B50" s="17" t="s">
        <v>80</v>
      </c>
      <c r="C50" s="10" t="s">
        <v>53</v>
      </c>
      <c r="D50" s="3"/>
      <c r="E50" s="3"/>
      <c r="F50" s="3"/>
      <c r="G50" s="3"/>
      <c r="H50" s="31">
        <f t="shared" si="0"/>
        <v>12144.524186999999</v>
      </c>
      <c r="I50" s="31">
        <f>'Прил 3'!E249</f>
        <v>2206.21</v>
      </c>
      <c r="J50" s="31">
        <f>'Прил 3'!F249</f>
        <v>2360.6447</v>
      </c>
      <c r="K50" s="31">
        <f>'Прил 3'!G249</f>
        <v>2525.889829</v>
      </c>
      <c r="L50" s="31">
        <f>'Прил 3'!H249</f>
        <v>2525.889829</v>
      </c>
      <c r="M50" s="31">
        <f>'Прил 3'!I249</f>
        <v>2525.889829</v>
      </c>
    </row>
    <row r="51" spans="1:13" ht="51">
      <c r="A51" s="3"/>
      <c r="B51" s="17" t="s">
        <v>35</v>
      </c>
      <c r="C51" s="10" t="s">
        <v>53</v>
      </c>
      <c r="D51" s="3"/>
      <c r="E51" s="3"/>
      <c r="F51" s="3"/>
      <c r="G51" s="3"/>
      <c r="H51" s="31">
        <f t="shared" si="0"/>
        <v>0</v>
      </c>
      <c r="I51" s="31"/>
      <c r="J51" s="31"/>
      <c r="K51" s="31"/>
      <c r="L51" s="31"/>
      <c r="M51" s="31"/>
    </row>
  </sheetData>
  <sheetProtection/>
  <mergeCells count="9">
    <mergeCell ref="I1:M1"/>
    <mergeCell ref="H2:M2"/>
    <mergeCell ref="A5:M5"/>
    <mergeCell ref="A7:A8"/>
    <mergeCell ref="B7:B8"/>
    <mergeCell ref="C7:C8"/>
    <mergeCell ref="D7:G7"/>
    <mergeCell ref="H7:M7"/>
    <mergeCell ref="H3:M3"/>
  </mergeCells>
  <printOptions/>
  <pageMargins left="0.7086614173228347" right="0.7086614173228347" top="0.7480314960629921" bottom="0.7480314960629921" header="0.31496062992125984" footer="0.31496062992125984"/>
  <pageSetup fitToHeight="4" fitToWidth="1" horizontalDpi="180" verticalDpi="18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0"/>
  <sheetViews>
    <sheetView zoomScalePageLayoutView="0" workbookViewId="0" topLeftCell="A1">
      <selection activeCell="J11" sqref="J11:L23"/>
    </sheetView>
  </sheetViews>
  <sheetFormatPr defaultColWidth="9.140625" defaultRowHeight="15"/>
  <cols>
    <col min="1" max="1" width="6.57421875" style="0" customWidth="1"/>
    <col min="2" max="2" width="29.00390625" style="0" customWidth="1"/>
    <col min="3" max="3" width="19.28125" style="0" customWidth="1"/>
    <col min="4" max="4" width="10.57421875" style="0" customWidth="1"/>
    <col min="5" max="6" width="11.28125" style="0" customWidth="1"/>
    <col min="7" max="7" width="10.7109375" style="0" customWidth="1"/>
    <col min="8" max="8" width="10.57421875" style="0" customWidth="1"/>
    <col min="9" max="9" width="11.421875" style="0" customWidth="1"/>
  </cols>
  <sheetData>
    <row r="1" spans="5:9" ht="15">
      <c r="E1" s="8"/>
      <c r="F1" s="41" t="s">
        <v>56</v>
      </c>
      <c r="G1" s="41"/>
      <c r="H1" s="41"/>
      <c r="I1" s="8"/>
    </row>
    <row r="2" spans="4:9" ht="15">
      <c r="D2" s="54" t="s">
        <v>1</v>
      </c>
      <c r="E2" s="54"/>
      <c r="F2" s="54"/>
      <c r="G2" s="54"/>
      <c r="H2" s="54"/>
      <c r="I2" s="54"/>
    </row>
    <row r="3" spans="4:9" ht="15">
      <c r="D3" s="54" t="s">
        <v>73</v>
      </c>
      <c r="E3" s="54"/>
      <c r="F3" s="54"/>
      <c r="G3" s="54"/>
      <c r="H3" s="54"/>
      <c r="I3" s="54"/>
    </row>
    <row r="4" spans="4:9" ht="15">
      <c r="D4" s="5"/>
      <c r="E4" s="5"/>
      <c r="F4" s="5"/>
      <c r="G4" s="5"/>
      <c r="H4" s="5"/>
      <c r="I4" s="5"/>
    </row>
    <row r="6" spans="1:9" ht="30.75" customHeight="1">
      <c r="A6" s="64" t="s">
        <v>38</v>
      </c>
      <c r="B6" s="64" t="s">
        <v>39</v>
      </c>
      <c r="C6" s="64" t="s">
        <v>57</v>
      </c>
      <c r="D6" s="58" t="s">
        <v>66</v>
      </c>
      <c r="E6" s="59"/>
      <c r="F6" s="59"/>
      <c r="G6" s="59"/>
      <c r="H6" s="59"/>
      <c r="I6" s="60"/>
    </row>
    <row r="7" spans="1:16" ht="47.25" customHeight="1">
      <c r="A7" s="65"/>
      <c r="B7" s="65"/>
      <c r="C7" s="65"/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K7" s="8"/>
      <c r="L7" s="8"/>
      <c r="M7" s="8"/>
      <c r="N7" s="8"/>
      <c r="O7" s="8"/>
      <c r="P7" s="8"/>
    </row>
    <row r="8" spans="1:9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31.5" customHeight="1">
      <c r="A9" s="66"/>
      <c r="B9" s="72" t="s">
        <v>52</v>
      </c>
      <c r="C9" s="10" t="s">
        <v>58</v>
      </c>
      <c r="D9" s="22">
        <f>D15+D87+D225+D243</f>
        <v>1954709.079927</v>
      </c>
      <c r="E9" s="22">
        <f>E15+E87+E225+E243</f>
        <v>308786.01</v>
      </c>
      <c r="F9" s="22">
        <f>F15+F87+F225+F243</f>
        <v>414911.73870000005</v>
      </c>
      <c r="G9" s="22">
        <f>G15+G87+G225+G243</f>
        <v>436637.11040900013</v>
      </c>
      <c r="H9" s="22">
        <f>H15+H87+H225+H243</f>
        <v>397187.11040900013</v>
      </c>
      <c r="I9" s="22">
        <f>I15+I87+I225+I243</f>
        <v>397187.11040900013</v>
      </c>
    </row>
    <row r="10" spans="1:9" ht="15">
      <c r="A10" s="67"/>
      <c r="B10" s="73"/>
      <c r="C10" s="19" t="s">
        <v>59</v>
      </c>
      <c r="D10" s="22">
        <f aca="true" t="shared" si="0" ref="D10:I14">D16+D88+D226+D244</f>
        <v>0</v>
      </c>
      <c r="E10" s="22">
        <f t="shared" si="0"/>
        <v>0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2">
        <f t="shared" si="0"/>
        <v>0</v>
      </c>
    </row>
    <row r="11" spans="1:11" ht="15">
      <c r="A11" s="67"/>
      <c r="B11" s="73"/>
      <c r="C11" s="10" t="s">
        <v>60</v>
      </c>
      <c r="D11" s="22">
        <f t="shared" si="0"/>
        <v>1104443.7965970002</v>
      </c>
      <c r="E11" s="22">
        <f t="shared" si="0"/>
        <v>200636.51</v>
      </c>
      <c r="F11" s="22">
        <f t="shared" si="0"/>
        <v>214681.0657</v>
      </c>
      <c r="G11" s="22">
        <f t="shared" si="0"/>
        <v>229708.74029900003</v>
      </c>
      <c r="H11" s="22">
        <f t="shared" si="0"/>
        <v>229708.74029900003</v>
      </c>
      <c r="I11" s="22">
        <f t="shared" si="0"/>
        <v>229708.74029900003</v>
      </c>
      <c r="J11" s="30"/>
      <c r="K11" s="37"/>
    </row>
    <row r="12" spans="1:11" ht="15">
      <c r="A12" s="67"/>
      <c r="B12" s="73"/>
      <c r="C12" s="10" t="s">
        <v>65</v>
      </c>
      <c r="D12" s="22">
        <f t="shared" si="0"/>
        <v>850265.2833299999</v>
      </c>
      <c r="E12" s="22">
        <f t="shared" si="0"/>
        <v>108149.5</v>
      </c>
      <c r="F12" s="22">
        <f t="shared" si="0"/>
        <v>200230.67300000004</v>
      </c>
      <c r="G12" s="22">
        <f t="shared" si="0"/>
        <v>206928.37011000002</v>
      </c>
      <c r="H12" s="22">
        <f t="shared" si="0"/>
        <v>167478.37011000002</v>
      </c>
      <c r="I12" s="22">
        <f t="shared" si="0"/>
        <v>167478.37011000002</v>
      </c>
      <c r="J12" s="30"/>
      <c r="K12" s="37"/>
    </row>
    <row r="13" spans="1:9" ht="25.5">
      <c r="A13" s="67"/>
      <c r="B13" s="73"/>
      <c r="C13" s="10" t="s">
        <v>62</v>
      </c>
      <c r="D13" s="22">
        <f t="shared" si="0"/>
        <v>0</v>
      </c>
      <c r="E13" s="22">
        <f aca="true" t="shared" si="1" ref="E13:I14">E19+E91+E229+E247</f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2">
        <f t="shared" si="1"/>
        <v>0</v>
      </c>
    </row>
    <row r="14" spans="1:9" ht="15">
      <c r="A14" s="68"/>
      <c r="B14" s="74"/>
      <c r="C14" s="10" t="s">
        <v>63</v>
      </c>
      <c r="D14" s="22">
        <f t="shared" si="0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</row>
    <row r="15" spans="1:9" ht="29.25" customHeight="1">
      <c r="A15" s="66"/>
      <c r="B15" s="72" t="s">
        <v>11</v>
      </c>
      <c r="C15" s="10" t="s">
        <v>58</v>
      </c>
      <c r="D15" s="22">
        <f>D21+D27+D33+D39+D45+D51+D57+D63+D69+D75+D81</f>
        <v>200052.57969</v>
      </c>
      <c r="E15" s="22">
        <f>E21+E27+E33+E39+E45+E51+E57+E63+E69+E75+E81</f>
        <v>36112.7</v>
      </c>
      <c r="F15" s="22">
        <f>F21+F27+F33+F39+F45+F51+F57+F63+F69+F75+F81</f>
        <v>38940.58900000001</v>
      </c>
      <c r="G15" s="22">
        <f>G21+G27+G33+G39+G45+G51+G57+G63+G69+G75+G81</f>
        <v>41666.43023</v>
      </c>
      <c r="H15" s="22">
        <f>H21+H27+H33+H39+H45+H51+H57+H63+H69+H75+H81</f>
        <v>41666.43023</v>
      </c>
      <c r="I15" s="22">
        <f>I21+I27+I33+I39+I45+I51+I57+I63+I69+I75+I81</f>
        <v>41666.43023</v>
      </c>
    </row>
    <row r="16" spans="1:9" ht="17.25" customHeight="1">
      <c r="A16" s="67"/>
      <c r="B16" s="73"/>
      <c r="C16" s="19" t="s">
        <v>59</v>
      </c>
      <c r="D16" s="22">
        <f aca="true" t="shared" si="2" ref="D16:I20">D22+D28+D34+D40+D46+D52+D58+D64+D70+D76+D82</f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  <c r="H16" s="22">
        <f t="shared" si="2"/>
        <v>0</v>
      </c>
      <c r="I16" s="22">
        <f t="shared" si="2"/>
        <v>0</v>
      </c>
    </row>
    <row r="17" spans="1:10" ht="19.5" customHeight="1">
      <c r="A17" s="67"/>
      <c r="B17" s="73"/>
      <c r="C17" s="10" t="s">
        <v>60</v>
      </c>
      <c r="D17" s="22">
        <f t="shared" si="2"/>
        <v>83418.2238</v>
      </c>
      <c r="E17" s="22">
        <f t="shared" si="2"/>
        <v>15154</v>
      </c>
      <c r="F17" s="22">
        <f t="shared" si="2"/>
        <v>16214.779999999999</v>
      </c>
      <c r="G17" s="22">
        <f t="shared" si="2"/>
        <v>17349.8146</v>
      </c>
      <c r="H17" s="22">
        <f t="shared" si="2"/>
        <v>17349.8146</v>
      </c>
      <c r="I17" s="22">
        <f t="shared" si="2"/>
        <v>17349.8146</v>
      </c>
      <c r="J17" s="30"/>
    </row>
    <row r="18" spans="1:9" ht="21.75" customHeight="1">
      <c r="A18" s="67"/>
      <c r="B18" s="73"/>
      <c r="C18" s="10" t="s">
        <v>65</v>
      </c>
      <c r="D18" s="22">
        <f t="shared" si="2"/>
        <v>116634.35589000004</v>
      </c>
      <c r="E18" s="22">
        <f t="shared" si="2"/>
        <v>20958.7</v>
      </c>
      <c r="F18" s="22">
        <f t="shared" si="2"/>
        <v>22725.809</v>
      </c>
      <c r="G18" s="22">
        <f t="shared" si="2"/>
        <v>24316.615630000008</v>
      </c>
      <c r="H18" s="22">
        <f t="shared" si="2"/>
        <v>24316.615630000008</v>
      </c>
      <c r="I18" s="22">
        <f t="shared" si="2"/>
        <v>24316.615630000008</v>
      </c>
    </row>
    <row r="19" spans="1:9" ht="25.5" customHeight="1">
      <c r="A19" s="67"/>
      <c r="B19" s="73"/>
      <c r="C19" s="10" t="s">
        <v>62</v>
      </c>
      <c r="D19" s="22">
        <f t="shared" si="2"/>
        <v>0</v>
      </c>
      <c r="E19" s="22">
        <f t="shared" si="2"/>
        <v>0</v>
      </c>
      <c r="F19" s="22">
        <f t="shared" si="2"/>
        <v>0</v>
      </c>
      <c r="G19" s="22">
        <f t="shared" si="2"/>
        <v>0</v>
      </c>
      <c r="H19" s="22">
        <f t="shared" si="2"/>
        <v>0</v>
      </c>
      <c r="I19" s="22">
        <f t="shared" si="2"/>
        <v>0</v>
      </c>
    </row>
    <row r="20" spans="1:9" ht="18.75" customHeight="1">
      <c r="A20" s="68"/>
      <c r="B20" s="74"/>
      <c r="C20" s="10" t="s">
        <v>63</v>
      </c>
      <c r="D20" s="22">
        <f t="shared" si="2"/>
        <v>0</v>
      </c>
      <c r="E20" s="22">
        <f t="shared" si="2"/>
        <v>0</v>
      </c>
      <c r="F20" s="22">
        <f t="shared" si="2"/>
        <v>0</v>
      </c>
      <c r="G20" s="22">
        <f t="shared" si="2"/>
        <v>0</v>
      </c>
      <c r="H20" s="22">
        <f t="shared" si="2"/>
        <v>0</v>
      </c>
      <c r="I20" s="22">
        <f t="shared" si="2"/>
        <v>0</v>
      </c>
    </row>
    <row r="21" spans="1:9" ht="30.75" customHeight="1">
      <c r="A21" s="66"/>
      <c r="B21" s="69" t="s">
        <v>12</v>
      </c>
      <c r="C21" s="10" t="s">
        <v>58</v>
      </c>
      <c r="D21" s="22">
        <f>D22+D23+D24+D25+D26</f>
        <v>184667.27184</v>
      </c>
      <c r="E21" s="22">
        <f>E22+E23+E24+E25+E26</f>
        <v>33547.2</v>
      </c>
      <c r="F21" s="22">
        <f>F22+F23+F24+F25+F26</f>
        <v>35895.504</v>
      </c>
      <c r="G21" s="22">
        <f>G22+G23+G24+G25+G26</f>
        <v>38408.189280000006</v>
      </c>
      <c r="H21" s="22">
        <f>H22+H23+H24+H25+H26</f>
        <v>38408.189280000006</v>
      </c>
      <c r="I21" s="22">
        <f>I22+I23+I24+I25+I26</f>
        <v>38408.189280000006</v>
      </c>
    </row>
    <row r="22" spans="1:9" ht="16.5" customHeight="1">
      <c r="A22" s="67"/>
      <c r="B22" s="70"/>
      <c r="C22" s="19" t="s">
        <v>59</v>
      </c>
      <c r="D22" s="22">
        <f>SUM(E22:I22)</f>
        <v>0</v>
      </c>
      <c r="E22" s="22"/>
      <c r="F22" s="22"/>
      <c r="G22" s="22"/>
      <c r="H22" s="22"/>
      <c r="I22" s="22"/>
    </row>
    <row r="23" spans="1:9" ht="15.75" customHeight="1">
      <c r="A23" s="67"/>
      <c r="B23" s="70"/>
      <c r="C23" s="10" t="s">
        <v>60</v>
      </c>
      <c r="D23" s="22">
        <f>SUM(E23:I23)</f>
        <v>74338.22115</v>
      </c>
      <c r="E23" s="22">
        <f>25080-11575.5</f>
        <v>13504.5</v>
      </c>
      <c r="F23" s="22">
        <f>E23*1.07</f>
        <v>14449.815</v>
      </c>
      <c r="G23" s="22">
        <f>F23*1.07</f>
        <v>15461.302050000002</v>
      </c>
      <c r="H23" s="22">
        <f>G23</f>
        <v>15461.302050000002</v>
      </c>
      <c r="I23" s="22">
        <f>H23</f>
        <v>15461.302050000002</v>
      </c>
    </row>
    <row r="24" spans="1:9" ht="16.5" customHeight="1">
      <c r="A24" s="67"/>
      <c r="B24" s="70"/>
      <c r="C24" s="10" t="s">
        <v>65</v>
      </c>
      <c r="D24" s="22">
        <f>SUM(E24:I24)</f>
        <v>110329.05069000002</v>
      </c>
      <c r="E24" s="22">
        <f>20042.7</f>
        <v>20042.7</v>
      </c>
      <c r="F24" s="22">
        <f>E24*1.07</f>
        <v>21445.689000000002</v>
      </c>
      <c r="G24" s="22">
        <f>F24*1.07</f>
        <v>22946.887230000004</v>
      </c>
      <c r="H24" s="22">
        <f>G24</f>
        <v>22946.887230000004</v>
      </c>
      <c r="I24" s="22">
        <f>H24</f>
        <v>22946.887230000004</v>
      </c>
    </row>
    <row r="25" spans="1:9" ht="24.75" customHeight="1">
      <c r="A25" s="67"/>
      <c r="B25" s="70"/>
      <c r="C25" s="10" t="s">
        <v>62</v>
      </c>
      <c r="D25" s="22">
        <f>SUM(E25:I25)</f>
        <v>0</v>
      </c>
      <c r="E25" s="22"/>
      <c r="F25" s="22"/>
      <c r="G25" s="22"/>
      <c r="H25" s="22"/>
      <c r="I25" s="22"/>
    </row>
    <row r="26" spans="1:9" ht="16.5" customHeight="1">
      <c r="A26" s="68"/>
      <c r="B26" s="71"/>
      <c r="C26" s="10" t="s">
        <v>63</v>
      </c>
      <c r="D26" s="22">
        <f>SUM(E26:I26)</f>
        <v>0</v>
      </c>
      <c r="E26" s="22"/>
      <c r="F26" s="22"/>
      <c r="G26" s="22"/>
      <c r="H26" s="22"/>
      <c r="I26" s="22"/>
    </row>
    <row r="27" spans="1:9" ht="29.25" customHeight="1">
      <c r="A27" s="66"/>
      <c r="B27" s="69" t="s">
        <v>75</v>
      </c>
      <c r="C27" s="10" t="s">
        <v>58</v>
      </c>
      <c r="D27" s="22">
        <f>D28+D29+D30+D31+D32</f>
        <v>0</v>
      </c>
      <c r="E27" s="22">
        <f>E28+E29+E30+E31+E32</f>
        <v>0</v>
      </c>
      <c r="F27" s="22">
        <f>F28+F29+F30+F31+F32</f>
        <v>0</v>
      </c>
      <c r="G27" s="22">
        <f>G28+G29+G30+G31+G32</f>
        <v>0</v>
      </c>
      <c r="H27" s="22">
        <f>H28+H29+H30+H31+H32</f>
        <v>0</v>
      </c>
      <c r="I27" s="22">
        <f>I28+I29+I30+I31+I32</f>
        <v>0</v>
      </c>
    </row>
    <row r="28" spans="1:9" ht="15.75" customHeight="1">
      <c r="A28" s="67"/>
      <c r="B28" s="70"/>
      <c r="C28" s="19" t="s">
        <v>59</v>
      </c>
      <c r="D28" s="22">
        <f>SUM(E28:I28)</f>
        <v>0</v>
      </c>
      <c r="E28" s="22"/>
      <c r="F28" s="22"/>
      <c r="G28" s="22"/>
      <c r="H28" s="22"/>
      <c r="I28" s="22"/>
    </row>
    <row r="29" spans="1:9" ht="17.25" customHeight="1">
      <c r="A29" s="67"/>
      <c r="B29" s="70"/>
      <c r="C29" s="10" t="s">
        <v>60</v>
      </c>
      <c r="D29" s="22">
        <f>SUM(E29:I29)</f>
        <v>0</v>
      </c>
      <c r="E29" s="22"/>
      <c r="F29" s="22"/>
      <c r="G29" s="22"/>
      <c r="H29" s="22"/>
      <c r="I29" s="22"/>
    </row>
    <row r="30" spans="1:9" ht="19.5" customHeight="1">
      <c r="A30" s="67"/>
      <c r="B30" s="70"/>
      <c r="C30" s="10" t="s">
        <v>65</v>
      </c>
      <c r="D30" s="22">
        <f>SUM(E30:I30)</f>
        <v>0</v>
      </c>
      <c r="E30" s="22"/>
      <c r="F30" s="22"/>
      <c r="G30" s="22"/>
      <c r="H30" s="22"/>
      <c r="I30" s="22"/>
    </row>
    <row r="31" spans="1:9" ht="24.75" customHeight="1">
      <c r="A31" s="67"/>
      <c r="B31" s="70"/>
      <c r="C31" s="10" t="s">
        <v>62</v>
      </c>
      <c r="D31" s="22">
        <f>SUM(E31:I31)</f>
        <v>0</v>
      </c>
      <c r="E31" s="22"/>
      <c r="F31" s="22"/>
      <c r="G31" s="22"/>
      <c r="H31" s="22"/>
      <c r="I31" s="22"/>
    </row>
    <row r="32" spans="1:9" ht="18.75" customHeight="1">
      <c r="A32" s="68"/>
      <c r="B32" s="71"/>
      <c r="C32" s="10" t="s">
        <v>63</v>
      </c>
      <c r="D32" s="22">
        <f>SUM(E32:I32)</f>
        <v>0</v>
      </c>
      <c r="E32" s="22"/>
      <c r="F32" s="22"/>
      <c r="G32" s="22"/>
      <c r="H32" s="22"/>
      <c r="I32" s="22"/>
    </row>
    <row r="33" spans="1:9" ht="33.75" customHeight="1">
      <c r="A33" s="66"/>
      <c r="B33" s="69" t="s">
        <v>13</v>
      </c>
      <c r="C33" s="10" t="s">
        <v>58</v>
      </c>
      <c r="D33" s="22">
        <f>D34+D35+D36+D37+D38</f>
        <v>0</v>
      </c>
      <c r="E33" s="22">
        <f>E34+E35+E36+E37+E38</f>
        <v>0</v>
      </c>
      <c r="F33" s="22">
        <f>F34+F35+F36+F37+F38</f>
        <v>0</v>
      </c>
      <c r="G33" s="22">
        <f>G34+G35+G36+G37+G38</f>
        <v>0</v>
      </c>
      <c r="H33" s="22">
        <f>H34+H35+H36+H37+H38</f>
        <v>0</v>
      </c>
      <c r="I33" s="22">
        <f>I34+I35+I36+I37+I38</f>
        <v>0</v>
      </c>
    </row>
    <row r="34" spans="1:9" ht="17.25" customHeight="1">
      <c r="A34" s="67"/>
      <c r="B34" s="70"/>
      <c r="C34" s="19" t="s">
        <v>59</v>
      </c>
      <c r="D34" s="22">
        <f>SUM(E34:I34)</f>
        <v>0</v>
      </c>
      <c r="E34" s="22"/>
      <c r="F34" s="22"/>
      <c r="G34" s="22"/>
      <c r="H34" s="22"/>
      <c r="I34" s="22"/>
    </row>
    <row r="35" spans="1:9" ht="15" customHeight="1">
      <c r="A35" s="67"/>
      <c r="B35" s="70"/>
      <c r="C35" s="10" t="s">
        <v>60</v>
      </c>
      <c r="D35" s="22">
        <f>SUM(E35:I35)</f>
        <v>0</v>
      </c>
      <c r="E35" s="22"/>
      <c r="F35" s="22"/>
      <c r="G35" s="22"/>
      <c r="H35" s="22"/>
      <c r="I35" s="22"/>
    </row>
    <row r="36" spans="1:9" ht="17.25" customHeight="1">
      <c r="A36" s="67"/>
      <c r="B36" s="70"/>
      <c r="C36" s="10" t="s">
        <v>65</v>
      </c>
      <c r="D36" s="22">
        <f>SUM(E36:I36)</f>
        <v>0</v>
      </c>
      <c r="E36" s="22"/>
      <c r="F36" s="22"/>
      <c r="G36" s="22"/>
      <c r="H36" s="22"/>
      <c r="I36" s="22"/>
    </row>
    <row r="37" spans="1:9" ht="24" customHeight="1">
      <c r="A37" s="67"/>
      <c r="B37" s="70"/>
      <c r="C37" s="10" t="s">
        <v>62</v>
      </c>
      <c r="D37" s="22">
        <f>SUM(E37:I37)</f>
        <v>0</v>
      </c>
      <c r="E37" s="22"/>
      <c r="F37" s="22"/>
      <c r="G37" s="22"/>
      <c r="H37" s="22"/>
      <c r="I37" s="22"/>
    </row>
    <row r="38" spans="1:9" ht="15.75" customHeight="1">
      <c r="A38" s="68"/>
      <c r="B38" s="71"/>
      <c r="C38" s="10" t="s">
        <v>63</v>
      </c>
      <c r="D38" s="22">
        <f>SUM(E38:I38)</f>
        <v>0</v>
      </c>
      <c r="E38" s="22"/>
      <c r="F38" s="22"/>
      <c r="G38" s="22"/>
      <c r="H38" s="22"/>
      <c r="I38" s="22"/>
    </row>
    <row r="39" spans="1:9" ht="30.75" customHeight="1">
      <c r="A39" s="66"/>
      <c r="B39" s="69" t="s">
        <v>83</v>
      </c>
      <c r="C39" s="10" t="s">
        <v>58</v>
      </c>
      <c r="D39" s="22">
        <f>D40+D41+D42+D43+D44</f>
        <v>8105.120279999999</v>
      </c>
      <c r="E39" s="22">
        <f>E40+E41+E42+E43+E44</f>
        <v>1472.3999999999999</v>
      </c>
      <c r="F39" s="22">
        <f>F40+F41+F42+F43+F44</f>
        <v>1575.4679999999998</v>
      </c>
      <c r="G39" s="22">
        <f>G40+G41+G42+G43+G44</f>
        <v>1685.75076</v>
      </c>
      <c r="H39" s="22">
        <f>H40+H41+H42+H43+H44</f>
        <v>1685.75076</v>
      </c>
      <c r="I39" s="22">
        <f>I40+I41+I42+I43+I44</f>
        <v>1685.75076</v>
      </c>
    </row>
    <row r="40" spans="1:9" ht="15">
      <c r="A40" s="67"/>
      <c r="B40" s="70"/>
      <c r="C40" s="19" t="s">
        <v>59</v>
      </c>
      <c r="D40" s="22">
        <f>SUM(E40:I40)</f>
        <v>0</v>
      </c>
      <c r="E40" s="22"/>
      <c r="F40" s="22"/>
      <c r="G40" s="22"/>
      <c r="H40" s="22"/>
      <c r="I40" s="22"/>
    </row>
    <row r="41" spans="1:9" ht="15">
      <c r="A41" s="67"/>
      <c r="B41" s="70"/>
      <c r="C41" s="10" t="s">
        <v>60</v>
      </c>
      <c r="D41" s="22">
        <f>SUM(E41:I41)</f>
        <v>8105.120279999999</v>
      </c>
      <c r="E41" s="22">
        <f>2538.6-1066.2</f>
        <v>1472.3999999999999</v>
      </c>
      <c r="F41" s="22">
        <f>E41*1.07</f>
        <v>1575.4679999999998</v>
      </c>
      <c r="G41" s="22">
        <f>F41*1.07</f>
        <v>1685.75076</v>
      </c>
      <c r="H41" s="22">
        <f>G41</f>
        <v>1685.75076</v>
      </c>
      <c r="I41" s="22">
        <f>H41</f>
        <v>1685.75076</v>
      </c>
    </row>
    <row r="42" spans="1:9" ht="15">
      <c r="A42" s="67"/>
      <c r="B42" s="70"/>
      <c r="C42" s="10" t="s">
        <v>65</v>
      </c>
      <c r="D42" s="22">
        <f>SUM(E42:I42)</f>
        <v>0</v>
      </c>
      <c r="E42" s="22"/>
      <c r="F42" s="22"/>
      <c r="G42" s="22"/>
      <c r="H42" s="22"/>
      <c r="I42" s="22"/>
    </row>
    <row r="43" spans="1:9" ht="25.5">
      <c r="A43" s="67"/>
      <c r="B43" s="70"/>
      <c r="C43" s="10" t="s">
        <v>62</v>
      </c>
      <c r="D43" s="22">
        <f>SUM(E43:I43)</f>
        <v>0</v>
      </c>
      <c r="E43" s="22"/>
      <c r="F43" s="22"/>
      <c r="G43" s="22"/>
      <c r="H43" s="22"/>
      <c r="I43" s="22"/>
    </row>
    <row r="44" spans="1:9" ht="15">
      <c r="A44" s="68"/>
      <c r="B44" s="71"/>
      <c r="C44" s="10" t="s">
        <v>63</v>
      </c>
      <c r="D44" s="22">
        <f>SUM(E44:I44)</f>
        <v>0</v>
      </c>
      <c r="E44" s="22"/>
      <c r="F44" s="22"/>
      <c r="G44" s="22"/>
      <c r="H44" s="22"/>
      <c r="I44" s="22"/>
    </row>
    <row r="45" spans="1:9" ht="36" customHeight="1">
      <c r="A45" s="66"/>
      <c r="B45" s="69" t="s">
        <v>82</v>
      </c>
      <c r="C45" s="10" t="s">
        <v>58</v>
      </c>
      <c r="D45" s="22">
        <f>SUM(D46:D50)</f>
        <v>2752.3500000000004</v>
      </c>
      <c r="E45" s="22">
        <f>SUM(E46:E50)</f>
        <v>500</v>
      </c>
      <c r="F45" s="22">
        <f>SUM(F46:F50)</f>
        <v>535</v>
      </c>
      <c r="G45" s="22">
        <f>SUM(G46:G50)</f>
        <v>572.45</v>
      </c>
      <c r="H45" s="22">
        <f>SUM(H46:H50)</f>
        <v>572.45</v>
      </c>
      <c r="I45" s="22">
        <f>SUM(I46:I50)</f>
        <v>572.45</v>
      </c>
    </row>
    <row r="46" spans="1:9" ht="15">
      <c r="A46" s="67"/>
      <c r="B46" s="70"/>
      <c r="C46" s="19" t="s">
        <v>59</v>
      </c>
      <c r="D46" s="22">
        <f>SUM(E46:I46)</f>
        <v>0</v>
      </c>
      <c r="E46" s="22"/>
      <c r="F46" s="22"/>
      <c r="G46" s="22"/>
      <c r="H46" s="22"/>
      <c r="I46" s="22"/>
    </row>
    <row r="47" spans="1:9" ht="15">
      <c r="A47" s="67"/>
      <c r="B47" s="70"/>
      <c r="C47" s="10" t="s">
        <v>60</v>
      </c>
      <c r="D47" s="22">
        <f>SUM(E47:I47)</f>
        <v>0</v>
      </c>
      <c r="E47" s="22"/>
      <c r="F47" s="22"/>
      <c r="G47" s="22"/>
      <c r="H47" s="22"/>
      <c r="I47" s="22"/>
    </row>
    <row r="48" spans="1:9" ht="15">
      <c r="A48" s="67"/>
      <c r="B48" s="70"/>
      <c r="C48" s="10" t="s">
        <v>61</v>
      </c>
      <c r="D48" s="22">
        <f>SUM(E48:I48)</f>
        <v>2752.3500000000004</v>
      </c>
      <c r="E48" s="22">
        <f>500</f>
        <v>500</v>
      </c>
      <c r="F48" s="22">
        <f>E48*1.07</f>
        <v>535</v>
      </c>
      <c r="G48" s="22">
        <f>F48*1.07</f>
        <v>572.45</v>
      </c>
      <c r="H48" s="22">
        <f>G48</f>
        <v>572.45</v>
      </c>
      <c r="I48" s="22">
        <f>H48</f>
        <v>572.45</v>
      </c>
    </row>
    <row r="49" spans="1:9" ht="25.5">
      <c r="A49" s="67"/>
      <c r="B49" s="70"/>
      <c r="C49" s="10" t="s">
        <v>62</v>
      </c>
      <c r="D49" s="22">
        <f>SUM(E49:I49)</f>
        <v>0</v>
      </c>
      <c r="E49" s="22"/>
      <c r="F49" s="22"/>
      <c r="G49" s="22"/>
      <c r="H49" s="22"/>
      <c r="I49" s="22"/>
    </row>
    <row r="50" spans="1:9" ht="15">
      <c r="A50" s="68"/>
      <c r="B50" s="71"/>
      <c r="C50" s="10" t="s">
        <v>63</v>
      </c>
      <c r="D50" s="22">
        <f>SUM(E50:I50)</f>
        <v>0</v>
      </c>
      <c r="E50" s="22"/>
      <c r="F50" s="22"/>
      <c r="G50" s="22"/>
      <c r="H50" s="22"/>
      <c r="I50" s="22"/>
    </row>
    <row r="51" spans="1:9" ht="24" customHeight="1">
      <c r="A51" s="66"/>
      <c r="B51" s="69" t="s">
        <v>27</v>
      </c>
      <c r="C51" s="10" t="s">
        <v>58</v>
      </c>
      <c r="D51" s="22">
        <f>SUM(D52:D56)</f>
        <v>1100.94</v>
      </c>
      <c r="E51" s="22">
        <f>SUM(E52:E56)</f>
        <v>200</v>
      </c>
      <c r="F51" s="22">
        <f>SUM(F52:F56)</f>
        <v>214</v>
      </c>
      <c r="G51" s="22">
        <f>SUM(G52:G56)</f>
        <v>228.98000000000002</v>
      </c>
      <c r="H51" s="22">
        <f>SUM(H52:H56)</f>
        <v>228.98000000000002</v>
      </c>
      <c r="I51" s="22">
        <f>SUM(I52:I56)</f>
        <v>228.98000000000002</v>
      </c>
    </row>
    <row r="52" spans="1:9" ht="15">
      <c r="A52" s="67"/>
      <c r="B52" s="70"/>
      <c r="C52" s="19" t="s">
        <v>59</v>
      </c>
      <c r="D52" s="22">
        <f>SUM(E52:I52)</f>
        <v>0</v>
      </c>
      <c r="E52" s="22"/>
      <c r="F52" s="22"/>
      <c r="G52" s="22"/>
      <c r="H52" s="22"/>
      <c r="I52" s="22"/>
    </row>
    <row r="53" spans="1:9" ht="15">
      <c r="A53" s="67"/>
      <c r="B53" s="70"/>
      <c r="C53" s="10" t="s">
        <v>60</v>
      </c>
      <c r="D53" s="22">
        <f>SUM(E53:I53)</f>
        <v>0</v>
      </c>
      <c r="E53" s="22"/>
      <c r="F53" s="22"/>
      <c r="G53" s="22"/>
      <c r="H53" s="22"/>
      <c r="I53" s="22"/>
    </row>
    <row r="54" spans="1:9" ht="15">
      <c r="A54" s="67"/>
      <c r="B54" s="70"/>
      <c r="C54" s="10" t="s">
        <v>61</v>
      </c>
      <c r="D54" s="22">
        <f>SUM(E54:I54)</f>
        <v>1100.94</v>
      </c>
      <c r="E54" s="22">
        <f>200</f>
        <v>200</v>
      </c>
      <c r="F54" s="22">
        <f>E54*1.07</f>
        <v>214</v>
      </c>
      <c r="G54" s="22">
        <f>F54*1.07</f>
        <v>228.98000000000002</v>
      </c>
      <c r="H54" s="22">
        <f>G54</f>
        <v>228.98000000000002</v>
      </c>
      <c r="I54" s="22">
        <f>H54</f>
        <v>228.98000000000002</v>
      </c>
    </row>
    <row r="55" spans="1:9" ht="25.5">
      <c r="A55" s="67"/>
      <c r="B55" s="70"/>
      <c r="C55" s="10" t="s">
        <v>62</v>
      </c>
      <c r="D55" s="22">
        <f>SUM(E55:I55)</f>
        <v>0</v>
      </c>
      <c r="E55" s="22"/>
      <c r="F55" s="22"/>
      <c r="G55" s="22"/>
      <c r="H55" s="22"/>
      <c r="I55" s="22"/>
    </row>
    <row r="56" spans="1:9" ht="15">
      <c r="A56" s="68"/>
      <c r="B56" s="71"/>
      <c r="C56" s="10" t="s">
        <v>63</v>
      </c>
      <c r="D56" s="22">
        <f>SUM(E56:I56)</f>
        <v>0</v>
      </c>
      <c r="E56" s="22"/>
      <c r="F56" s="22"/>
      <c r="G56" s="22"/>
      <c r="H56" s="22"/>
      <c r="I56" s="22"/>
    </row>
    <row r="57" spans="1:9" ht="36" customHeight="1">
      <c r="A57" s="66"/>
      <c r="B57" s="69" t="s">
        <v>79</v>
      </c>
      <c r="C57" s="10" t="s">
        <v>58</v>
      </c>
      <c r="D57" s="22">
        <f>SUM(D58:D62)</f>
        <v>2237.8823700000003</v>
      </c>
      <c r="E57" s="22">
        <f>SUM(E58:E62)</f>
        <v>177.10000000000002</v>
      </c>
      <c r="F57" s="22">
        <f>SUM(F58:F62)</f>
        <v>489.49700000000007</v>
      </c>
      <c r="G57" s="22">
        <f>SUM(G58:G62)</f>
        <v>523.76179</v>
      </c>
      <c r="H57" s="22">
        <f>SUM(H58:H62)</f>
        <v>523.76179</v>
      </c>
      <c r="I57" s="22">
        <f>SUM(I58:I62)</f>
        <v>523.76179</v>
      </c>
    </row>
    <row r="58" spans="1:9" ht="15">
      <c r="A58" s="67"/>
      <c r="B58" s="70"/>
      <c r="C58" s="19" t="s">
        <v>59</v>
      </c>
      <c r="D58" s="22">
        <f>SUM(E58:I58)</f>
        <v>0</v>
      </c>
      <c r="E58" s="22"/>
      <c r="F58" s="22"/>
      <c r="G58" s="22"/>
      <c r="H58" s="22"/>
      <c r="I58" s="22"/>
    </row>
    <row r="59" spans="1:9" ht="15">
      <c r="A59" s="67"/>
      <c r="B59" s="70"/>
      <c r="C59" s="10" t="s">
        <v>60</v>
      </c>
      <c r="D59" s="22">
        <f>SUM(E59:I59)</f>
        <v>974.8823700000002</v>
      </c>
      <c r="E59" s="22">
        <f>329.1-152</f>
        <v>177.10000000000002</v>
      </c>
      <c r="F59" s="22">
        <f>E59*1.07</f>
        <v>189.49700000000004</v>
      </c>
      <c r="G59" s="22">
        <f>F59*1.07</f>
        <v>202.76179000000005</v>
      </c>
      <c r="H59" s="22">
        <f>G59</f>
        <v>202.76179000000005</v>
      </c>
      <c r="I59" s="22">
        <f>H59</f>
        <v>202.76179000000005</v>
      </c>
    </row>
    <row r="60" spans="1:9" ht="15">
      <c r="A60" s="67"/>
      <c r="B60" s="70"/>
      <c r="C60" s="10" t="s">
        <v>61</v>
      </c>
      <c r="D60" s="22">
        <f>SUM(E60:I60)</f>
        <v>1263</v>
      </c>
      <c r="E60" s="22"/>
      <c r="F60" s="22">
        <f>300</f>
        <v>300</v>
      </c>
      <c r="G60" s="22">
        <f>F60*1.07</f>
        <v>321</v>
      </c>
      <c r="H60" s="22">
        <f>G60</f>
        <v>321</v>
      </c>
      <c r="I60" s="22">
        <f>H60</f>
        <v>321</v>
      </c>
    </row>
    <row r="61" spans="1:9" ht="25.5">
      <c r="A61" s="67"/>
      <c r="B61" s="70"/>
      <c r="C61" s="10" t="s">
        <v>62</v>
      </c>
      <c r="D61" s="22">
        <f>SUM(E61:I61)</f>
        <v>0</v>
      </c>
      <c r="E61" s="22"/>
      <c r="F61" s="22"/>
      <c r="G61" s="22"/>
      <c r="H61" s="22"/>
      <c r="I61" s="22"/>
    </row>
    <row r="62" spans="1:9" ht="15">
      <c r="A62" s="68"/>
      <c r="B62" s="71"/>
      <c r="C62" s="10" t="s">
        <v>63</v>
      </c>
      <c r="D62" s="22">
        <f>SUM(E62:I62)</f>
        <v>0</v>
      </c>
      <c r="E62" s="22"/>
      <c r="F62" s="22"/>
      <c r="G62" s="22"/>
      <c r="H62" s="22"/>
      <c r="I62" s="22"/>
    </row>
    <row r="63" spans="1:9" ht="24" customHeight="1">
      <c r="A63" s="66"/>
      <c r="B63" s="69" t="s">
        <v>28</v>
      </c>
      <c r="C63" s="10" t="s">
        <v>58</v>
      </c>
      <c r="D63" s="22">
        <f>SUM(D64:D68)</f>
        <v>550.47</v>
      </c>
      <c r="E63" s="22">
        <f>SUM(E64:E68)</f>
        <v>100</v>
      </c>
      <c r="F63" s="22">
        <f>SUM(F64:F68)</f>
        <v>107</v>
      </c>
      <c r="G63" s="22">
        <f>SUM(G64:G68)</f>
        <v>114.49000000000001</v>
      </c>
      <c r="H63" s="22">
        <f>SUM(H64:H68)</f>
        <v>114.49000000000001</v>
      </c>
      <c r="I63" s="22">
        <f>SUM(I64:I68)</f>
        <v>114.49000000000001</v>
      </c>
    </row>
    <row r="64" spans="1:9" ht="15">
      <c r="A64" s="67"/>
      <c r="B64" s="70"/>
      <c r="C64" s="19" t="s">
        <v>59</v>
      </c>
      <c r="D64" s="22">
        <f>SUM(E64:I64)</f>
        <v>0</v>
      </c>
      <c r="E64" s="22"/>
      <c r="F64" s="22"/>
      <c r="G64" s="22"/>
      <c r="H64" s="22"/>
      <c r="I64" s="22"/>
    </row>
    <row r="65" spans="1:9" ht="15">
      <c r="A65" s="67"/>
      <c r="B65" s="70"/>
      <c r="C65" s="10" t="s">
        <v>60</v>
      </c>
      <c r="D65" s="22">
        <f>SUM(E65:I65)</f>
        <v>0</v>
      </c>
      <c r="E65" s="22"/>
      <c r="F65" s="22"/>
      <c r="G65" s="22"/>
      <c r="H65" s="22"/>
      <c r="I65" s="22"/>
    </row>
    <row r="66" spans="1:9" ht="15">
      <c r="A66" s="67"/>
      <c r="B66" s="70"/>
      <c r="C66" s="10" t="s">
        <v>61</v>
      </c>
      <c r="D66" s="22">
        <f>SUM(E66:I66)</f>
        <v>550.47</v>
      </c>
      <c r="E66" s="22">
        <f>100</f>
        <v>100</v>
      </c>
      <c r="F66" s="22">
        <f>E66*1.07</f>
        <v>107</v>
      </c>
      <c r="G66" s="22">
        <f>F66*1.07</f>
        <v>114.49000000000001</v>
      </c>
      <c r="H66" s="22">
        <f>G66</f>
        <v>114.49000000000001</v>
      </c>
      <c r="I66" s="22">
        <f>H66</f>
        <v>114.49000000000001</v>
      </c>
    </row>
    <row r="67" spans="1:9" ht="25.5">
      <c r="A67" s="67"/>
      <c r="B67" s="70"/>
      <c r="C67" s="10" t="s">
        <v>62</v>
      </c>
      <c r="D67" s="22">
        <f>SUM(E67:I67)</f>
        <v>0</v>
      </c>
      <c r="E67" s="22"/>
      <c r="F67" s="22"/>
      <c r="G67" s="22"/>
      <c r="H67" s="22"/>
      <c r="I67" s="22"/>
    </row>
    <row r="68" spans="1:9" ht="16.5" customHeight="1">
      <c r="A68" s="68"/>
      <c r="B68" s="71"/>
      <c r="C68" s="10" t="s">
        <v>63</v>
      </c>
      <c r="D68" s="22">
        <f>SUM(E68:I68)</f>
        <v>0</v>
      </c>
      <c r="E68" s="22"/>
      <c r="F68" s="22"/>
      <c r="G68" s="22"/>
      <c r="H68" s="22"/>
      <c r="I68" s="22"/>
    </row>
    <row r="69" spans="1:9" ht="36" customHeight="1">
      <c r="A69" s="66"/>
      <c r="B69" s="69" t="s">
        <v>29</v>
      </c>
      <c r="C69" s="10" t="s">
        <v>58</v>
      </c>
      <c r="D69" s="22">
        <f>SUM(D70:D74)</f>
        <v>550.47</v>
      </c>
      <c r="E69" s="22">
        <f>SUM(E70:E74)</f>
        <v>100</v>
      </c>
      <c r="F69" s="22">
        <f>SUM(F70:F74)</f>
        <v>107</v>
      </c>
      <c r="G69" s="22">
        <f>SUM(G70:G74)</f>
        <v>114.49000000000001</v>
      </c>
      <c r="H69" s="22">
        <f>SUM(H70:H74)</f>
        <v>114.49000000000001</v>
      </c>
      <c r="I69" s="22">
        <f>SUM(I70:I74)</f>
        <v>114.49000000000001</v>
      </c>
    </row>
    <row r="70" spans="1:9" ht="15">
      <c r="A70" s="67"/>
      <c r="B70" s="70"/>
      <c r="C70" s="19" t="s">
        <v>59</v>
      </c>
      <c r="D70" s="22">
        <f>SUM(E70:I70)</f>
        <v>0</v>
      </c>
      <c r="E70" s="22"/>
      <c r="F70" s="22"/>
      <c r="G70" s="22"/>
      <c r="H70" s="22"/>
      <c r="I70" s="22"/>
    </row>
    <row r="71" spans="1:9" ht="15">
      <c r="A71" s="67"/>
      <c r="B71" s="70"/>
      <c r="C71" s="10" t="s">
        <v>60</v>
      </c>
      <c r="D71" s="22">
        <f>SUM(E71:I71)</f>
        <v>0</v>
      </c>
      <c r="E71" s="22"/>
      <c r="F71" s="22"/>
      <c r="G71" s="22"/>
      <c r="H71" s="22"/>
      <c r="I71" s="22"/>
    </row>
    <row r="72" spans="1:9" ht="15">
      <c r="A72" s="67"/>
      <c r="B72" s="70"/>
      <c r="C72" s="10" t="s">
        <v>61</v>
      </c>
      <c r="D72" s="22">
        <f>SUM(E72:I72)</f>
        <v>550.47</v>
      </c>
      <c r="E72" s="22">
        <f>100</f>
        <v>100</v>
      </c>
      <c r="F72" s="22">
        <f>E72*1.07</f>
        <v>107</v>
      </c>
      <c r="G72" s="22">
        <f>F72*1.07</f>
        <v>114.49000000000001</v>
      </c>
      <c r="H72" s="22">
        <f>G72</f>
        <v>114.49000000000001</v>
      </c>
      <c r="I72" s="22">
        <f>H72</f>
        <v>114.49000000000001</v>
      </c>
    </row>
    <row r="73" spans="1:9" ht="25.5">
      <c r="A73" s="67"/>
      <c r="B73" s="70"/>
      <c r="C73" s="10" t="s">
        <v>62</v>
      </c>
      <c r="D73" s="22">
        <f>SUM(E73:I73)</f>
        <v>0</v>
      </c>
      <c r="E73" s="22"/>
      <c r="F73" s="22"/>
      <c r="G73" s="22"/>
      <c r="H73" s="22"/>
      <c r="I73" s="22"/>
    </row>
    <row r="74" spans="1:9" ht="15">
      <c r="A74" s="68"/>
      <c r="B74" s="71"/>
      <c r="C74" s="10" t="s">
        <v>63</v>
      </c>
      <c r="D74" s="22">
        <f>SUM(E74:I74)</f>
        <v>0</v>
      </c>
      <c r="E74" s="22"/>
      <c r="F74" s="22"/>
      <c r="G74" s="22"/>
      <c r="H74" s="22"/>
      <c r="I74" s="22"/>
    </row>
    <row r="75" spans="1:9" ht="26.25" customHeight="1">
      <c r="A75" s="66"/>
      <c r="B75" s="69" t="s">
        <v>30</v>
      </c>
      <c r="C75" s="10" t="s">
        <v>58</v>
      </c>
      <c r="D75" s="22">
        <f>SUM(D76:D80)</f>
        <v>82.57050000000001</v>
      </c>
      <c r="E75" s="22">
        <f>SUM(E76:E80)</f>
        <v>15</v>
      </c>
      <c r="F75" s="22">
        <f>SUM(F76:F80)</f>
        <v>16.05</v>
      </c>
      <c r="G75" s="22">
        <f>SUM(G76:G80)</f>
        <v>17.1735</v>
      </c>
      <c r="H75" s="22">
        <f>SUM(H76:H80)</f>
        <v>17.1735</v>
      </c>
      <c r="I75" s="22">
        <f>SUM(I76:I80)</f>
        <v>17.1735</v>
      </c>
    </row>
    <row r="76" spans="1:9" ht="15">
      <c r="A76" s="67"/>
      <c r="B76" s="70"/>
      <c r="C76" s="19" t="s">
        <v>59</v>
      </c>
      <c r="D76" s="22">
        <f>SUM(E76:I76)</f>
        <v>0</v>
      </c>
      <c r="E76" s="22"/>
      <c r="F76" s="22"/>
      <c r="G76" s="22"/>
      <c r="H76" s="22"/>
      <c r="I76" s="22"/>
    </row>
    <row r="77" spans="1:9" ht="15">
      <c r="A77" s="67"/>
      <c r="B77" s="70"/>
      <c r="C77" s="10" t="s">
        <v>60</v>
      </c>
      <c r="D77" s="22">
        <f>SUM(E77:I77)</f>
        <v>0</v>
      </c>
      <c r="E77" s="22"/>
      <c r="F77" s="22"/>
      <c r="G77" s="22"/>
      <c r="H77" s="22"/>
      <c r="I77" s="22"/>
    </row>
    <row r="78" spans="1:9" ht="15">
      <c r="A78" s="67"/>
      <c r="B78" s="70"/>
      <c r="C78" s="10" t="s">
        <v>61</v>
      </c>
      <c r="D78" s="22">
        <f>SUM(E78:I78)</f>
        <v>82.57050000000001</v>
      </c>
      <c r="E78" s="22">
        <f>15</f>
        <v>15</v>
      </c>
      <c r="F78" s="22">
        <f>E78*1.07</f>
        <v>16.05</v>
      </c>
      <c r="G78" s="22">
        <f>F78*1.07</f>
        <v>17.1735</v>
      </c>
      <c r="H78" s="22">
        <f>G78</f>
        <v>17.1735</v>
      </c>
      <c r="I78" s="22">
        <f>H78</f>
        <v>17.1735</v>
      </c>
    </row>
    <row r="79" spans="1:9" ht="25.5">
      <c r="A79" s="67"/>
      <c r="B79" s="70"/>
      <c r="C79" s="10" t="s">
        <v>62</v>
      </c>
      <c r="D79" s="22">
        <f>SUM(E79:I79)</f>
        <v>0</v>
      </c>
      <c r="E79" s="22"/>
      <c r="F79" s="22"/>
      <c r="G79" s="22"/>
      <c r="H79" s="22"/>
      <c r="I79" s="22"/>
    </row>
    <row r="80" spans="1:9" ht="16.5" customHeight="1">
      <c r="A80" s="68"/>
      <c r="B80" s="71"/>
      <c r="C80" s="10" t="s">
        <v>63</v>
      </c>
      <c r="D80" s="22">
        <f>SUM(E80:I80)</f>
        <v>0</v>
      </c>
      <c r="E80" s="22"/>
      <c r="F80" s="22"/>
      <c r="G80" s="22"/>
      <c r="H80" s="22"/>
      <c r="I80" s="22"/>
    </row>
    <row r="81" spans="1:9" ht="26.25" customHeight="1">
      <c r="A81" s="66"/>
      <c r="B81" s="69" t="s">
        <v>34</v>
      </c>
      <c r="C81" s="10" t="s">
        <v>58</v>
      </c>
      <c r="D81" s="22">
        <f>SUM(D82:D86)</f>
        <v>5.5047</v>
      </c>
      <c r="E81" s="22">
        <f>SUM(E82:E86)</f>
        <v>1</v>
      </c>
      <c r="F81" s="22">
        <f>SUM(F82:F86)</f>
        <v>1.07</v>
      </c>
      <c r="G81" s="22">
        <f>SUM(G82:G86)</f>
        <v>1.1449</v>
      </c>
      <c r="H81" s="22">
        <f>SUM(H82:H86)</f>
        <v>1.1449</v>
      </c>
      <c r="I81" s="22">
        <f>SUM(I82:I86)</f>
        <v>1.1449</v>
      </c>
    </row>
    <row r="82" spans="1:9" ht="15.75" customHeight="1">
      <c r="A82" s="67"/>
      <c r="B82" s="70"/>
      <c r="C82" s="19" t="s">
        <v>59</v>
      </c>
      <c r="D82" s="22">
        <f>SUM(E82:I82)</f>
        <v>0</v>
      </c>
      <c r="E82" s="22"/>
      <c r="F82" s="22"/>
      <c r="G82" s="22"/>
      <c r="H82" s="22"/>
      <c r="I82" s="22"/>
    </row>
    <row r="83" spans="1:9" ht="15" customHeight="1">
      <c r="A83" s="67"/>
      <c r="B83" s="70"/>
      <c r="C83" s="10" t="s">
        <v>60</v>
      </c>
      <c r="D83" s="22">
        <f>SUM(E83:I83)</f>
        <v>0</v>
      </c>
      <c r="E83" s="22"/>
      <c r="F83" s="22"/>
      <c r="G83" s="22"/>
      <c r="H83" s="22"/>
      <c r="I83" s="22"/>
    </row>
    <row r="84" spans="1:9" ht="16.5" customHeight="1">
      <c r="A84" s="67"/>
      <c r="B84" s="70"/>
      <c r="C84" s="10" t="s">
        <v>61</v>
      </c>
      <c r="D84" s="22">
        <f>SUM(E84:I84)</f>
        <v>5.5047</v>
      </c>
      <c r="E84" s="22">
        <f>1</f>
        <v>1</v>
      </c>
      <c r="F84" s="22">
        <f>E84*1.07</f>
        <v>1.07</v>
      </c>
      <c r="G84" s="22">
        <f>F84*1.07</f>
        <v>1.1449</v>
      </c>
      <c r="H84" s="22">
        <f>G84</f>
        <v>1.1449</v>
      </c>
      <c r="I84" s="22">
        <f>H84</f>
        <v>1.1449</v>
      </c>
    </row>
    <row r="85" spans="1:9" ht="25.5" customHeight="1">
      <c r="A85" s="67"/>
      <c r="B85" s="70"/>
      <c r="C85" s="10" t="s">
        <v>62</v>
      </c>
      <c r="D85" s="22">
        <f>SUM(E85:I85)</f>
        <v>0</v>
      </c>
      <c r="E85" s="22"/>
      <c r="F85" s="22"/>
      <c r="G85" s="22"/>
      <c r="H85" s="22"/>
      <c r="I85" s="22"/>
    </row>
    <row r="86" spans="1:9" ht="15" customHeight="1">
      <c r="A86" s="68"/>
      <c r="B86" s="71"/>
      <c r="C86" s="10" t="s">
        <v>63</v>
      </c>
      <c r="D86" s="22">
        <f>SUM(E86:I86)</f>
        <v>0</v>
      </c>
      <c r="E86" s="22"/>
      <c r="F86" s="22"/>
      <c r="G86" s="22"/>
      <c r="H86" s="22"/>
      <c r="I86" s="22"/>
    </row>
    <row r="87" spans="1:9" ht="29.25" customHeight="1">
      <c r="A87" s="66"/>
      <c r="B87" s="72" t="s">
        <v>74</v>
      </c>
      <c r="C87" s="10" t="s">
        <v>58</v>
      </c>
      <c r="D87" s="22">
        <f>D93+D99+D105+D111+D117+D123+D129+D135+D141+D147+D153+D159+D165+D171+D177+D183+D189+D195+D201+D207+D213+D219</f>
        <v>1695709.36524</v>
      </c>
      <c r="E87" s="22">
        <f>E93+E99+E105+E111+E117+E123+E129+E135+E141+E147+E153+E159+E165+E171+E177+E183+E189+E195+E201+E207+E213+E219</f>
        <v>261964.8</v>
      </c>
      <c r="F87" s="22">
        <f>F93+F99+F105+F111+F117+F123+F129+F135+F141+F147+F153+F159+F165+F171+F177+F183+F189+F195+F201+F207+F213+F219</f>
        <v>364513.044</v>
      </c>
      <c r="G87" s="22">
        <f>G93+G99+G105+G111+G117+G123+G129+G135+G141+G147+G153+G159+G165+G171+G177+G183+G189+G195+G201+G207+G213+G219</f>
        <v>382710.5070800001</v>
      </c>
      <c r="H87" s="22">
        <f>H93+H99+H105+H111+H117+H123+H129+H135+H141+H147+H153+H159+H165+H171+H177+H183+H189+H195+H201+H207+H213+H219</f>
        <v>343260.5070800001</v>
      </c>
      <c r="I87" s="22">
        <f>I93+I99+I105+I111+I117+I123+I129+I135+I141+I147+I153+I159+I165+I171+I177+I183+I189+I195+I201+I207+I213+I219</f>
        <v>343260.5070800001</v>
      </c>
    </row>
    <row r="88" spans="1:9" ht="15">
      <c r="A88" s="67"/>
      <c r="B88" s="73"/>
      <c r="C88" s="19" t="s">
        <v>59</v>
      </c>
      <c r="D88" s="22">
        <f aca="true" t="shared" si="3" ref="D88:I92">D94+D100+D106+D112+D118+D124+D130+D136+D142+D148+D154+D160+D166+D172+D178+D184+D190+D196+D202+D208+D214+D220</f>
        <v>0</v>
      </c>
      <c r="E88" s="22">
        <f t="shared" si="3"/>
        <v>0</v>
      </c>
      <c r="F88" s="22">
        <f t="shared" si="3"/>
        <v>0</v>
      </c>
      <c r="G88" s="22">
        <f t="shared" si="3"/>
        <v>0</v>
      </c>
      <c r="H88" s="22">
        <f t="shared" si="3"/>
        <v>0</v>
      </c>
      <c r="I88" s="22">
        <f t="shared" si="3"/>
        <v>0</v>
      </c>
    </row>
    <row r="89" spans="1:11" ht="15">
      <c r="A89" s="67"/>
      <c r="B89" s="73"/>
      <c r="C89" s="10" t="s">
        <v>60</v>
      </c>
      <c r="D89" s="22">
        <f t="shared" si="3"/>
        <v>1013236.3672500001</v>
      </c>
      <c r="E89" s="22">
        <f t="shared" si="3"/>
        <v>184067.5</v>
      </c>
      <c r="F89" s="22">
        <f t="shared" si="3"/>
        <v>196952.225</v>
      </c>
      <c r="G89" s="22">
        <f t="shared" si="3"/>
        <v>210738.88075</v>
      </c>
      <c r="H89" s="22">
        <f t="shared" si="3"/>
        <v>210738.88075</v>
      </c>
      <c r="I89" s="22">
        <f t="shared" si="3"/>
        <v>210738.88075</v>
      </c>
      <c r="J89" s="37"/>
      <c r="K89" s="37"/>
    </row>
    <row r="90" spans="1:10" ht="15">
      <c r="A90" s="67"/>
      <c r="B90" s="73"/>
      <c r="C90" s="10" t="s">
        <v>61</v>
      </c>
      <c r="D90" s="22">
        <f t="shared" si="3"/>
        <v>682472.99799</v>
      </c>
      <c r="E90" s="22">
        <f t="shared" si="3"/>
        <v>77897.3</v>
      </c>
      <c r="F90" s="22">
        <f t="shared" si="3"/>
        <v>167560.81900000002</v>
      </c>
      <c r="G90" s="22">
        <f t="shared" si="3"/>
        <v>171971.62633</v>
      </c>
      <c r="H90" s="22">
        <f t="shared" si="3"/>
        <v>132521.62633</v>
      </c>
      <c r="I90" s="22">
        <f t="shared" si="3"/>
        <v>132521.62633</v>
      </c>
      <c r="J90" s="30"/>
    </row>
    <row r="91" spans="1:9" ht="25.5">
      <c r="A91" s="67"/>
      <c r="B91" s="73"/>
      <c r="C91" s="10" t="s">
        <v>62</v>
      </c>
      <c r="D91" s="22">
        <f t="shared" si="3"/>
        <v>0</v>
      </c>
      <c r="E91" s="22">
        <f t="shared" si="3"/>
        <v>0</v>
      </c>
      <c r="F91" s="22">
        <f t="shared" si="3"/>
        <v>0</v>
      </c>
      <c r="G91" s="22">
        <f t="shared" si="3"/>
        <v>0</v>
      </c>
      <c r="H91" s="22">
        <f t="shared" si="3"/>
        <v>0</v>
      </c>
      <c r="I91" s="22">
        <f t="shared" si="3"/>
        <v>0</v>
      </c>
    </row>
    <row r="92" spans="1:9" ht="15">
      <c r="A92" s="68"/>
      <c r="B92" s="74"/>
      <c r="C92" s="10" t="s">
        <v>63</v>
      </c>
      <c r="D92" s="22">
        <f t="shared" si="3"/>
        <v>0</v>
      </c>
      <c r="E92" s="22">
        <f t="shared" si="3"/>
        <v>0</v>
      </c>
      <c r="F92" s="22">
        <f t="shared" si="3"/>
        <v>0</v>
      </c>
      <c r="G92" s="22">
        <f t="shared" si="3"/>
        <v>0</v>
      </c>
      <c r="H92" s="22">
        <f t="shared" si="3"/>
        <v>0</v>
      </c>
      <c r="I92" s="22">
        <f t="shared" si="3"/>
        <v>0</v>
      </c>
    </row>
    <row r="93" spans="1:9" ht="27.75" customHeight="1">
      <c r="A93" s="66"/>
      <c r="B93" s="69" t="s">
        <v>14</v>
      </c>
      <c r="C93" s="10" t="s">
        <v>58</v>
      </c>
      <c r="D93" s="22">
        <f>D94+D95+D96+D97+D98</f>
        <v>542857.48069</v>
      </c>
      <c r="E93" s="22">
        <f>E94+E95+E96+E97+E98</f>
        <v>52103.3</v>
      </c>
      <c r="F93" s="22">
        <f>F94+F95+F96+F97+F98</f>
        <v>116568.689</v>
      </c>
      <c r="G93" s="22">
        <f>G94+G95+G96+G97+G98</f>
        <v>124728.49723000001</v>
      </c>
      <c r="H93" s="22">
        <f>H94+H95+H96+H97+H98</f>
        <v>124728.49723000001</v>
      </c>
      <c r="I93" s="22">
        <f>I94+I95+I96+I97+I98</f>
        <v>124728.49723000001</v>
      </c>
    </row>
    <row r="94" spans="1:9" ht="15">
      <c r="A94" s="67"/>
      <c r="B94" s="70"/>
      <c r="C94" s="19" t="s">
        <v>59</v>
      </c>
      <c r="D94" s="22">
        <f>SUM(E94:I94)</f>
        <v>0</v>
      </c>
      <c r="E94" s="22"/>
      <c r="F94" s="22"/>
      <c r="G94" s="22"/>
      <c r="H94" s="22"/>
      <c r="I94" s="22"/>
    </row>
    <row r="95" spans="1:9" ht="15">
      <c r="A95" s="67"/>
      <c r="B95" s="70"/>
      <c r="C95" s="10" t="s">
        <v>60</v>
      </c>
      <c r="D95" s="22">
        <f>SUM(E95:I95)</f>
        <v>0</v>
      </c>
      <c r="E95" s="22"/>
      <c r="F95" s="22"/>
      <c r="G95" s="22"/>
      <c r="H95" s="22"/>
      <c r="I95" s="22"/>
    </row>
    <row r="96" spans="1:9" ht="15">
      <c r="A96" s="67"/>
      <c r="B96" s="70"/>
      <c r="C96" s="10" t="s">
        <v>65</v>
      </c>
      <c r="D96" s="22">
        <f>SUM(E96:I96)</f>
        <v>542857.48069</v>
      </c>
      <c r="E96" s="22">
        <f>52103.3</f>
        <v>52103.3</v>
      </c>
      <c r="F96" s="22">
        <f>108942.7*1.07</f>
        <v>116568.689</v>
      </c>
      <c r="G96" s="22">
        <f>F96*1.07</f>
        <v>124728.49723000001</v>
      </c>
      <c r="H96" s="22">
        <f>G96</f>
        <v>124728.49723000001</v>
      </c>
      <c r="I96" s="22">
        <f>H96</f>
        <v>124728.49723000001</v>
      </c>
    </row>
    <row r="97" spans="1:9" ht="25.5">
      <c r="A97" s="67"/>
      <c r="B97" s="70"/>
      <c r="C97" s="10" t="s">
        <v>62</v>
      </c>
      <c r="D97" s="22">
        <f>SUM(E97:I97)</f>
        <v>0</v>
      </c>
      <c r="E97" s="22"/>
      <c r="F97" s="22"/>
      <c r="G97" s="22"/>
      <c r="H97" s="22"/>
      <c r="I97" s="22"/>
    </row>
    <row r="98" spans="1:9" ht="15">
      <c r="A98" s="68"/>
      <c r="B98" s="71"/>
      <c r="C98" s="10" t="s">
        <v>63</v>
      </c>
      <c r="D98" s="22">
        <f>SUM(E98:I98)</f>
        <v>0</v>
      </c>
      <c r="E98" s="22"/>
      <c r="F98" s="22"/>
      <c r="G98" s="22"/>
      <c r="H98" s="22"/>
      <c r="I98" s="22"/>
    </row>
    <row r="99" spans="1:9" ht="31.5" customHeight="1">
      <c r="A99" s="66"/>
      <c r="B99" s="69" t="s">
        <v>76</v>
      </c>
      <c r="C99" s="10" t="s">
        <v>58</v>
      </c>
      <c r="D99" s="22">
        <f>D100+D101+D102+D103+D104</f>
        <v>848030.41179</v>
      </c>
      <c r="E99" s="22">
        <f>E100+E101+E102+E103+E104</f>
        <v>154055.7</v>
      </c>
      <c r="F99" s="22">
        <f>F100+F101+F102+F103+F104</f>
        <v>164839.59900000002</v>
      </c>
      <c r="G99" s="22">
        <f>G100+G101+G102+G103+G104</f>
        <v>176378.37093000003</v>
      </c>
      <c r="H99" s="22">
        <f>H100+H101+H102+H103+H104</f>
        <v>176378.37093000003</v>
      </c>
      <c r="I99" s="22">
        <f>I100+I101+I102+I103+I104</f>
        <v>176378.37093000003</v>
      </c>
    </row>
    <row r="100" spans="1:9" ht="15">
      <c r="A100" s="67"/>
      <c r="B100" s="70"/>
      <c r="C100" s="19" t="s">
        <v>59</v>
      </c>
      <c r="D100" s="22">
        <f>SUM(E100:I100)</f>
        <v>0</v>
      </c>
      <c r="E100" s="22"/>
      <c r="F100" s="22"/>
      <c r="G100" s="22"/>
      <c r="H100" s="22"/>
      <c r="I100" s="22"/>
    </row>
    <row r="101" spans="1:9" ht="15">
      <c r="A101" s="67"/>
      <c r="B101" s="70"/>
      <c r="C101" s="10" t="s">
        <v>60</v>
      </c>
      <c r="D101" s="22">
        <f>SUM(E101:I101)</f>
        <v>848030.41179</v>
      </c>
      <c r="E101" s="22">
        <f>142480.2+11575.5</f>
        <v>154055.7</v>
      </c>
      <c r="F101" s="22">
        <f>E101*1.07</f>
        <v>164839.59900000002</v>
      </c>
      <c r="G101" s="22">
        <f>F101*1.07</f>
        <v>176378.37093000003</v>
      </c>
      <c r="H101" s="22">
        <f>G101</f>
        <v>176378.37093000003</v>
      </c>
      <c r="I101" s="22">
        <f>H101</f>
        <v>176378.37093000003</v>
      </c>
    </row>
    <row r="102" spans="1:9" ht="15">
      <c r="A102" s="67"/>
      <c r="B102" s="70"/>
      <c r="C102" s="10" t="s">
        <v>65</v>
      </c>
      <c r="D102" s="22">
        <f>SUM(E102:I102)</f>
        <v>0</v>
      </c>
      <c r="E102" s="22"/>
      <c r="F102" s="22"/>
      <c r="G102" s="22"/>
      <c r="H102" s="22"/>
      <c r="I102" s="22"/>
    </row>
    <row r="103" spans="1:9" ht="25.5">
      <c r="A103" s="67"/>
      <c r="B103" s="70"/>
      <c r="C103" s="10" t="s">
        <v>62</v>
      </c>
      <c r="D103" s="22">
        <f>SUM(E103:I103)</f>
        <v>0</v>
      </c>
      <c r="E103" s="22"/>
      <c r="F103" s="22"/>
      <c r="G103" s="22"/>
      <c r="H103" s="22"/>
      <c r="I103" s="22"/>
    </row>
    <row r="104" spans="1:9" ht="15">
      <c r="A104" s="68"/>
      <c r="B104" s="71"/>
      <c r="C104" s="10" t="s">
        <v>63</v>
      </c>
      <c r="D104" s="22">
        <f>SUM(E104:I104)</f>
        <v>0</v>
      </c>
      <c r="E104" s="22"/>
      <c r="F104" s="22"/>
      <c r="G104" s="22"/>
      <c r="H104" s="22"/>
      <c r="I104" s="22"/>
    </row>
    <row r="105" spans="1:9" ht="22.5" customHeight="1">
      <c r="A105" s="66"/>
      <c r="B105" s="69" t="s">
        <v>89</v>
      </c>
      <c r="C105" s="10" t="s">
        <v>58</v>
      </c>
      <c r="D105" s="22">
        <f>SUM(D106:D110)</f>
        <v>5869.111140000001</v>
      </c>
      <c r="E105" s="22">
        <f>SUM(E106:E110)</f>
        <v>1066.2</v>
      </c>
      <c r="F105" s="22">
        <f>SUM(F106:F110)</f>
        <v>1140.834</v>
      </c>
      <c r="G105" s="22">
        <f>SUM(G106:G110)</f>
        <v>1220.6923800000002</v>
      </c>
      <c r="H105" s="22">
        <f>SUM(H106:H110)</f>
        <v>1220.6923800000002</v>
      </c>
      <c r="I105" s="22">
        <f>SUM(I106:I110)</f>
        <v>1220.6923800000002</v>
      </c>
    </row>
    <row r="106" spans="1:9" ht="15">
      <c r="A106" s="67"/>
      <c r="B106" s="70"/>
      <c r="C106" s="19" t="s">
        <v>59</v>
      </c>
      <c r="D106" s="22">
        <f>SUM(E106:I106)</f>
        <v>0</v>
      </c>
      <c r="E106" s="22"/>
      <c r="F106" s="22"/>
      <c r="G106" s="22"/>
      <c r="H106" s="22"/>
      <c r="I106" s="22"/>
    </row>
    <row r="107" spans="1:9" ht="15">
      <c r="A107" s="67"/>
      <c r="B107" s="70"/>
      <c r="C107" s="10" t="s">
        <v>60</v>
      </c>
      <c r="D107" s="22">
        <f>SUM(E107:I107)</f>
        <v>5869.111140000001</v>
      </c>
      <c r="E107" s="22">
        <f>1066.2</f>
        <v>1066.2</v>
      </c>
      <c r="F107" s="22">
        <f>E107*1.07</f>
        <v>1140.834</v>
      </c>
      <c r="G107" s="22">
        <f>F107*1.07</f>
        <v>1220.6923800000002</v>
      </c>
      <c r="H107" s="22">
        <f>G107</f>
        <v>1220.6923800000002</v>
      </c>
      <c r="I107" s="22">
        <f>H107</f>
        <v>1220.6923800000002</v>
      </c>
    </row>
    <row r="108" spans="1:9" ht="15">
      <c r="A108" s="67"/>
      <c r="B108" s="70"/>
      <c r="C108" s="10" t="s">
        <v>65</v>
      </c>
      <c r="D108" s="22">
        <f>SUM(E108:I108)</f>
        <v>0</v>
      </c>
      <c r="E108" s="22"/>
      <c r="F108" s="22"/>
      <c r="G108" s="22"/>
      <c r="H108" s="22"/>
      <c r="I108" s="22"/>
    </row>
    <row r="109" spans="1:9" ht="25.5">
      <c r="A109" s="67"/>
      <c r="B109" s="70"/>
      <c r="C109" s="10" t="s">
        <v>62</v>
      </c>
      <c r="D109" s="22">
        <f>SUM(E109:I109)</f>
        <v>0</v>
      </c>
      <c r="E109" s="22"/>
      <c r="F109" s="22"/>
      <c r="G109" s="22"/>
      <c r="H109" s="22"/>
      <c r="I109" s="22"/>
    </row>
    <row r="110" spans="1:9" ht="15">
      <c r="A110" s="68"/>
      <c r="B110" s="71"/>
      <c r="C110" s="10" t="s">
        <v>63</v>
      </c>
      <c r="D110" s="22">
        <f>SUM(E110:I110)</f>
        <v>0</v>
      </c>
      <c r="E110" s="22"/>
      <c r="F110" s="22"/>
      <c r="G110" s="22"/>
      <c r="H110" s="22"/>
      <c r="I110" s="22"/>
    </row>
    <row r="111" spans="1:9" ht="30" customHeight="1">
      <c r="A111" s="66"/>
      <c r="B111" s="75" t="s">
        <v>54</v>
      </c>
      <c r="C111" s="10" t="s">
        <v>58</v>
      </c>
      <c r="D111" s="22">
        <f>D112+D113+D114+D115+D116</f>
        <v>0</v>
      </c>
      <c r="E111" s="22">
        <f>E112+E113+E114+E115+E116</f>
        <v>0</v>
      </c>
      <c r="F111" s="22">
        <f>F112+F113+F114+F115+F116</f>
        <v>0</v>
      </c>
      <c r="G111" s="22">
        <f>G112+G113+G114+G115+G116</f>
        <v>0</v>
      </c>
      <c r="H111" s="22">
        <f>H112+H113+H114+H115+H116</f>
        <v>0</v>
      </c>
      <c r="I111" s="22">
        <f>I112+I113+I114+I115+I116</f>
        <v>0</v>
      </c>
    </row>
    <row r="112" spans="1:9" ht="15">
      <c r="A112" s="67"/>
      <c r="B112" s="76"/>
      <c r="C112" s="19" t="s">
        <v>59</v>
      </c>
      <c r="D112" s="22">
        <f>SUM(E112:I112)</f>
        <v>0</v>
      </c>
      <c r="E112" s="22"/>
      <c r="F112" s="22"/>
      <c r="G112" s="22"/>
      <c r="H112" s="22"/>
      <c r="I112" s="22"/>
    </row>
    <row r="113" spans="1:9" ht="15">
      <c r="A113" s="67"/>
      <c r="B113" s="76"/>
      <c r="C113" s="10" t="s">
        <v>60</v>
      </c>
      <c r="D113" s="22">
        <f>SUM(E113:I113)</f>
        <v>0</v>
      </c>
      <c r="E113" s="22"/>
      <c r="F113" s="22"/>
      <c r="G113" s="22"/>
      <c r="H113" s="22"/>
      <c r="I113" s="22"/>
    </row>
    <row r="114" spans="1:9" ht="15">
      <c r="A114" s="67"/>
      <c r="B114" s="76"/>
      <c r="C114" s="10" t="s">
        <v>65</v>
      </c>
      <c r="D114" s="22">
        <f>SUM(E114:I114)</f>
        <v>0</v>
      </c>
      <c r="E114" s="22"/>
      <c r="F114" s="22"/>
      <c r="G114" s="22"/>
      <c r="H114" s="22"/>
      <c r="I114" s="22"/>
    </row>
    <row r="115" spans="1:9" ht="25.5">
      <c r="A115" s="67"/>
      <c r="B115" s="76"/>
      <c r="C115" s="10" t="s">
        <v>62</v>
      </c>
      <c r="D115" s="22">
        <f>SUM(E115:I115)</f>
        <v>0</v>
      </c>
      <c r="E115" s="22"/>
      <c r="F115" s="22"/>
      <c r="G115" s="22"/>
      <c r="H115" s="22"/>
      <c r="I115" s="22"/>
    </row>
    <row r="116" spans="1:9" ht="15">
      <c r="A116" s="68"/>
      <c r="B116" s="77"/>
      <c r="C116" s="10" t="s">
        <v>63</v>
      </c>
      <c r="D116" s="22">
        <f>SUM(E116:I116)</f>
        <v>0</v>
      </c>
      <c r="E116" s="22"/>
      <c r="F116" s="22"/>
      <c r="G116" s="22"/>
      <c r="H116" s="22"/>
      <c r="I116" s="22"/>
    </row>
    <row r="117" spans="1:9" ht="30.75" customHeight="1">
      <c r="A117" s="66"/>
      <c r="B117" s="69" t="s">
        <v>77</v>
      </c>
      <c r="C117" s="10" t="s">
        <v>58</v>
      </c>
      <c r="D117" s="22">
        <f>D118+D119+D120+D121+D122</f>
        <v>0</v>
      </c>
      <c r="E117" s="22">
        <f>E118+E119+E120+E121+E122</f>
        <v>0</v>
      </c>
      <c r="F117" s="22">
        <f>F118+F119+F120+F121+F122</f>
        <v>0</v>
      </c>
      <c r="G117" s="22">
        <f>G118+G119+G120+G121+G122</f>
        <v>0</v>
      </c>
      <c r="H117" s="22">
        <f>H118+H119+H120+H121+H122</f>
        <v>0</v>
      </c>
      <c r="I117" s="22">
        <f>I118+I119+I120+I121+I122</f>
        <v>0</v>
      </c>
    </row>
    <row r="118" spans="1:9" ht="16.5" customHeight="1">
      <c r="A118" s="67"/>
      <c r="B118" s="70"/>
      <c r="C118" s="19" t="s">
        <v>59</v>
      </c>
      <c r="D118" s="22">
        <f>SUM(E118:I118)</f>
        <v>0</v>
      </c>
      <c r="E118" s="22"/>
      <c r="F118" s="22"/>
      <c r="G118" s="22"/>
      <c r="H118" s="22"/>
      <c r="I118" s="22"/>
    </row>
    <row r="119" spans="1:9" ht="15.75" customHeight="1">
      <c r="A119" s="67"/>
      <c r="B119" s="70"/>
      <c r="C119" s="10" t="s">
        <v>60</v>
      </c>
      <c r="D119" s="22">
        <f>SUM(E119:I119)</f>
        <v>0</v>
      </c>
      <c r="E119" s="22"/>
      <c r="F119" s="22"/>
      <c r="G119" s="22"/>
      <c r="H119" s="22"/>
      <c r="I119" s="22"/>
    </row>
    <row r="120" spans="1:9" ht="15.75" customHeight="1">
      <c r="A120" s="67"/>
      <c r="B120" s="70"/>
      <c r="C120" s="10" t="s">
        <v>65</v>
      </c>
      <c r="D120" s="22">
        <f>SUM(E120:I120)</f>
        <v>0</v>
      </c>
      <c r="E120" s="22"/>
      <c r="F120" s="22"/>
      <c r="G120" s="22"/>
      <c r="H120" s="22"/>
      <c r="I120" s="22"/>
    </row>
    <row r="121" spans="1:9" ht="24.75" customHeight="1">
      <c r="A121" s="67"/>
      <c r="B121" s="70"/>
      <c r="C121" s="10" t="s">
        <v>62</v>
      </c>
      <c r="D121" s="22">
        <f>SUM(E121:I121)</f>
        <v>0</v>
      </c>
      <c r="E121" s="22"/>
      <c r="F121" s="22"/>
      <c r="G121" s="22"/>
      <c r="H121" s="22"/>
      <c r="I121" s="22"/>
    </row>
    <row r="122" spans="1:9" ht="17.25" customHeight="1">
      <c r="A122" s="68"/>
      <c r="B122" s="71"/>
      <c r="C122" s="10" t="s">
        <v>63</v>
      </c>
      <c r="D122" s="22">
        <f>SUM(E122:I122)</f>
        <v>0</v>
      </c>
      <c r="E122" s="22"/>
      <c r="F122" s="22"/>
      <c r="G122" s="22"/>
      <c r="H122" s="22"/>
      <c r="I122" s="22"/>
    </row>
    <row r="123" spans="1:9" ht="27.75" customHeight="1">
      <c r="A123" s="66"/>
      <c r="B123" s="69" t="s">
        <v>20</v>
      </c>
      <c r="C123" s="10" t="s">
        <v>58</v>
      </c>
      <c r="D123" s="22">
        <f>D124+D125+D126+D127+D128</f>
        <v>72450</v>
      </c>
      <c r="E123" s="22">
        <f>E124+E125+E126+E127+E128</f>
        <v>0</v>
      </c>
      <c r="F123" s="22">
        <f>F124+F125+F126+F127+F128</f>
        <v>35000</v>
      </c>
      <c r="G123" s="22">
        <f>G124+G125+G126+G127+G128</f>
        <v>37450</v>
      </c>
      <c r="H123" s="22">
        <f>H124+H125+H126+H127+H128</f>
        <v>0</v>
      </c>
      <c r="I123" s="22">
        <f>I124+I125+I126+I127+I128</f>
        <v>0</v>
      </c>
    </row>
    <row r="124" spans="1:9" ht="15">
      <c r="A124" s="67"/>
      <c r="B124" s="70"/>
      <c r="C124" s="19" t="s">
        <v>59</v>
      </c>
      <c r="D124" s="22">
        <f>SUM(E124:I124)</f>
        <v>0</v>
      </c>
      <c r="E124" s="22"/>
      <c r="F124" s="22"/>
      <c r="G124" s="22"/>
      <c r="H124" s="22"/>
      <c r="I124" s="22"/>
    </row>
    <row r="125" spans="1:9" ht="15">
      <c r="A125" s="67"/>
      <c r="B125" s="70"/>
      <c r="C125" s="10" t="s">
        <v>60</v>
      </c>
      <c r="D125" s="22">
        <f>SUM(E125:I125)</f>
        <v>0</v>
      </c>
      <c r="E125" s="22"/>
      <c r="F125" s="22"/>
      <c r="G125" s="22"/>
      <c r="H125" s="22"/>
      <c r="I125" s="22"/>
    </row>
    <row r="126" spans="1:9" ht="15">
      <c r="A126" s="67"/>
      <c r="B126" s="70"/>
      <c r="C126" s="10" t="s">
        <v>65</v>
      </c>
      <c r="D126" s="22">
        <f>SUM(E126:I126)</f>
        <v>72450</v>
      </c>
      <c r="E126" s="22"/>
      <c r="F126" s="22">
        <f>35000</f>
        <v>35000</v>
      </c>
      <c r="G126" s="22">
        <f>F126*1.07</f>
        <v>37450</v>
      </c>
      <c r="H126" s="22"/>
      <c r="I126" s="22"/>
    </row>
    <row r="127" spans="1:9" ht="25.5">
      <c r="A127" s="67"/>
      <c r="B127" s="70"/>
      <c r="C127" s="10" t="s">
        <v>62</v>
      </c>
      <c r="D127" s="22">
        <f>SUM(E127:I127)</f>
        <v>0</v>
      </c>
      <c r="E127" s="22"/>
      <c r="F127" s="22"/>
      <c r="G127" s="22"/>
      <c r="H127" s="22"/>
      <c r="I127" s="22"/>
    </row>
    <row r="128" spans="1:9" ht="15">
      <c r="A128" s="68"/>
      <c r="B128" s="71"/>
      <c r="C128" s="10" t="s">
        <v>63</v>
      </c>
      <c r="D128" s="22">
        <f>SUM(E128:I128)</f>
        <v>0</v>
      </c>
      <c r="E128" s="22"/>
      <c r="F128" s="22"/>
      <c r="G128" s="22"/>
      <c r="H128" s="22"/>
      <c r="I128" s="22"/>
    </row>
    <row r="129" spans="1:9" ht="24.75" customHeight="1">
      <c r="A129" s="66"/>
      <c r="B129" s="69" t="s">
        <v>21</v>
      </c>
      <c r="C129" s="10" t="s">
        <v>58</v>
      </c>
      <c r="D129" s="22">
        <f>D130+D131+D132+D133+D134</f>
        <v>7000</v>
      </c>
      <c r="E129" s="22">
        <f>E130+E131+E132+E133+E134</f>
        <v>7000</v>
      </c>
      <c r="F129" s="22">
        <f>F130+F131+F132+F133+F134</f>
        <v>0</v>
      </c>
      <c r="G129" s="22">
        <f>G130+G131+G132+G133+G134</f>
        <v>0</v>
      </c>
      <c r="H129" s="22">
        <f>H130+H131+H132+H133+H134</f>
        <v>0</v>
      </c>
      <c r="I129" s="22">
        <f>I130+I131+I132+I133+I134</f>
        <v>0</v>
      </c>
    </row>
    <row r="130" spans="1:9" ht="15">
      <c r="A130" s="67"/>
      <c r="B130" s="70"/>
      <c r="C130" s="19" t="s">
        <v>59</v>
      </c>
      <c r="D130" s="22">
        <f>SUM(E130:I130)</f>
        <v>0</v>
      </c>
      <c r="E130" s="22"/>
      <c r="F130" s="22"/>
      <c r="G130" s="22"/>
      <c r="H130" s="22"/>
      <c r="I130" s="22"/>
    </row>
    <row r="131" spans="1:9" ht="15">
      <c r="A131" s="67"/>
      <c r="B131" s="70"/>
      <c r="C131" s="10" t="s">
        <v>60</v>
      </c>
      <c r="D131" s="22">
        <f>SUM(E131:I131)</f>
        <v>0</v>
      </c>
      <c r="E131" s="22"/>
      <c r="F131" s="22"/>
      <c r="G131" s="22"/>
      <c r="H131" s="22"/>
      <c r="I131" s="22"/>
    </row>
    <row r="132" spans="1:9" ht="15">
      <c r="A132" s="67"/>
      <c r="B132" s="70"/>
      <c r="C132" s="10" t="s">
        <v>65</v>
      </c>
      <c r="D132" s="22">
        <f>SUM(E132:I132)</f>
        <v>7000</v>
      </c>
      <c r="E132" s="22">
        <f>7000</f>
        <v>7000</v>
      </c>
      <c r="F132" s="22"/>
      <c r="G132" s="22"/>
      <c r="H132" s="22"/>
      <c r="I132" s="22"/>
    </row>
    <row r="133" spans="1:9" ht="25.5">
      <c r="A133" s="67"/>
      <c r="B133" s="70"/>
      <c r="C133" s="10" t="s">
        <v>62</v>
      </c>
      <c r="D133" s="22">
        <f>SUM(E133:I133)</f>
        <v>0</v>
      </c>
      <c r="E133" s="22"/>
      <c r="F133" s="22"/>
      <c r="G133" s="22"/>
      <c r="H133" s="22"/>
      <c r="I133" s="22"/>
    </row>
    <row r="134" spans="1:9" ht="15">
      <c r="A134" s="68"/>
      <c r="B134" s="71"/>
      <c r="C134" s="10" t="s">
        <v>63</v>
      </c>
      <c r="D134" s="22">
        <f>SUM(E134:I134)</f>
        <v>0</v>
      </c>
      <c r="E134" s="22"/>
      <c r="F134" s="22"/>
      <c r="G134" s="22"/>
      <c r="H134" s="22"/>
      <c r="I134" s="22"/>
    </row>
    <row r="135" spans="1:9" ht="24.75" customHeight="1">
      <c r="A135" s="66"/>
      <c r="B135" s="69" t="s">
        <v>23</v>
      </c>
      <c r="C135" s="10" t="s">
        <v>58</v>
      </c>
      <c r="D135" s="22">
        <f>D136+D137+D138+D139+D140</f>
        <v>10000</v>
      </c>
      <c r="E135" s="22">
        <f>E136+E137+E138+E139+E140</f>
        <v>10000</v>
      </c>
      <c r="F135" s="22">
        <f>F136+F137+F138+F139+F140</f>
        <v>0</v>
      </c>
      <c r="G135" s="22">
        <f>G136+G137+G138+G139+G140</f>
        <v>0</v>
      </c>
      <c r="H135" s="22">
        <f>H136+H137+H138+H139+H140</f>
        <v>0</v>
      </c>
      <c r="I135" s="22">
        <f>I136+I137+I138+I139+I140</f>
        <v>0</v>
      </c>
    </row>
    <row r="136" spans="1:9" ht="15">
      <c r="A136" s="67"/>
      <c r="B136" s="70"/>
      <c r="C136" s="19" t="s">
        <v>59</v>
      </c>
      <c r="D136" s="22">
        <f>SUM(E136:I136)</f>
        <v>0</v>
      </c>
      <c r="E136" s="22"/>
      <c r="F136" s="22"/>
      <c r="G136" s="22"/>
      <c r="H136" s="22"/>
      <c r="I136" s="22"/>
    </row>
    <row r="137" spans="1:9" ht="15">
      <c r="A137" s="67"/>
      <c r="B137" s="70"/>
      <c r="C137" s="10" t="s">
        <v>60</v>
      </c>
      <c r="D137" s="22">
        <f>SUM(E137:I137)</f>
        <v>0</v>
      </c>
      <c r="E137" s="22"/>
      <c r="F137" s="22"/>
      <c r="G137" s="22"/>
      <c r="H137" s="22"/>
      <c r="I137" s="22"/>
    </row>
    <row r="138" spans="1:9" ht="15">
      <c r="A138" s="67"/>
      <c r="B138" s="70"/>
      <c r="C138" s="10" t="s">
        <v>65</v>
      </c>
      <c r="D138" s="22">
        <f>SUM(E138:I138)</f>
        <v>10000</v>
      </c>
      <c r="E138" s="22">
        <f>10000</f>
        <v>10000</v>
      </c>
      <c r="F138" s="22"/>
      <c r="G138" s="22"/>
      <c r="H138" s="22"/>
      <c r="I138" s="22"/>
    </row>
    <row r="139" spans="1:9" ht="25.5">
      <c r="A139" s="67"/>
      <c r="B139" s="70"/>
      <c r="C139" s="10" t="s">
        <v>62</v>
      </c>
      <c r="D139" s="22">
        <f>SUM(E139:I139)</f>
        <v>0</v>
      </c>
      <c r="E139" s="22"/>
      <c r="F139" s="22"/>
      <c r="G139" s="22"/>
      <c r="H139" s="22"/>
      <c r="I139" s="22"/>
    </row>
    <row r="140" spans="1:9" ht="15">
      <c r="A140" s="68"/>
      <c r="B140" s="71"/>
      <c r="C140" s="10" t="s">
        <v>63</v>
      </c>
      <c r="D140" s="22">
        <f>SUM(E140:I140)</f>
        <v>0</v>
      </c>
      <c r="E140" s="22"/>
      <c r="F140" s="22"/>
      <c r="G140" s="22"/>
      <c r="H140" s="22"/>
      <c r="I140" s="22"/>
    </row>
    <row r="141" spans="1:9" ht="27.75" customHeight="1">
      <c r="A141" s="66"/>
      <c r="B141" s="69" t="s">
        <v>22</v>
      </c>
      <c r="C141" s="10" t="s">
        <v>58</v>
      </c>
      <c r="D141" s="22">
        <f>D142+D143+D144+D145+D146</f>
        <v>1000</v>
      </c>
      <c r="E141" s="22">
        <f>E142+E143+E144+E145+E146</f>
        <v>1000</v>
      </c>
      <c r="F141" s="22">
        <f>F142+F143+F144+F145+F146</f>
        <v>0</v>
      </c>
      <c r="G141" s="22">
        <f>G142+G143+G144+G145+G146</f>
        <v>0</v>
      </c>
      <c r="H141" s="22">
        <f>H142+H143+H144+H145+H146</f>
        <v>0</v>
      </c>
      <c r="I141" s="22">
        <f>I142+I143+I144+I145+I146</f>
        <v>0</v>
      </c>
    </row>
    <row r="142" spans="1:9" ht="15">
      <c r="A142" s="67"/>
      <c r="B142" s="70"/>
      <c r="C142" s="19" t="s">
        <v>59</v>
      </c>
      <c r="D142" s="22">
        <f>SUM(E142:I142)</f>
        <v>0</v>
      </c>
      <c r="E142" s="22"/>
      <c r="F142" s="22"/>
      <c r="G142" s="22"/>
      <c r="H142" s="22"/>
      <c r="I142" s="22"/>
    </row>
    <row r="143" spans="1:9" ht="15">
      <c r="A143" s="67"/>
      <c r="B143" s="70"/>
      <c r="C143" s="10" t="s">
        <v>60</v>
      </c>
      <c r="D143" s="22">
        <f>SUM(E143:I143)</f>
        <v>0</v>
      </c>
      <c r="E143" s="22"/>
      <c r="F143" s="22"/>
      <c r="G143" s="22"/>
      <c r="H143" s="22"/>
      <c r="I143" s="22"/>
    </row>
    <row r="144" spans="1:9" ht="15">
      <c r="A144" s="67"/>
      <c r="B144" s="70"/>
      <c r="C144" s="10" t="s">
        <v>65</v>
      </c>
      <c r="D144" s="22">
        <f>SUM(E144:I144)</f>
        <v>1000</v>
      </c>
      <c r="E144" s="22">
        <f>1000</f>
        <v>1000</v>
      </c>
      <c r="F144" s="22"/>
      <c r="G144" s="22"/>
      <c r="H144" s="22"/>
      <c r="I144" s="22"/>
    </row>
    <row r="145" spans="1:9" ht="25.5">
      <c r="A145" s="67"/>
      <c r="B145" s="70"/>
      <c r="C145" s="10" t="s">
        <v>62</v>
      </c>
      <c r="D145" s="22">
        <f>SUM(E145:I145)</f>
        <v>0</v>
      </c>
      <c r="E145" s="22"/>
      <c r="F145" s="22"/>
      <c r="G145" s="22"/>
      <c r="H145" s="22"/>
      <c r="I145" s="22"/>
    </row>
    <row r="146" spans="1:9" ht="15">
      <c r="A146" s="68"/>
      <c r="B146" s="71"/>
      <c r="C146" s="10" t="s">
        <v>63</v>
      </c>
      <c r="D146" s="22">
        <f>SUM(E146:I146)</f>
        <v>0</v>
      </c>
      <c r="E146" s="22"/>
      <c r="F146" s="22"/>
      <c r="G146" s="22"/>
      <c r="H146" s="22"/>
      <c r="I146" s="22"/>
    </row>
    <row r="147" spans="1:9" ht="24.75" customHeight="1">
      <c r="A147" s="66"/>
      <c r="B147" s="69" t="s">
        <v>24</v>
      </c>
      <c r="C147" s="10" t="s">
        <v>58</v>
      </c>
      <c r="D147" s="22">
        <f>D148+D149+D150+D151+D152</f>
        <v>2200</v>
      </c>
      <c r="E147" s="22">
        <f>E148+E149+E150+E151+E152</f>
        <v>0</v>
      </c>
      <c r="F147" s="22">
        <f>F148+F149+F150+F151+F152</f>
        <v>2200</v>
      </c>
      <c r="G147" s="22">
        <f>G148+G149+G150+G151+G152</f>
        <v>0</v>
      </c>
      <c r="H147" s="22">
        <f>H148+H149+H150+H151+H152</f>
        <v>0</v>
      </c>
      <c r="I147" s="22">
        <f>I148+I149+I150+I151+I152</f>
        <v>0</v>
      </c>
    </row>
    <row r="148" spans="1:9" ht="15">
      <c r="A148" s="67"/>
      <c r="B148" s="70"/>
      <c r="C148" s="19" t="s">
        <v>59</v>
      </c>
      <c r="D148" s="22">
        <f>SUM(E148:I148)</f>
        <v>0</v>
      </c>
      <c r="E148" s="22"/>
      <c r="F148" s="22"/>
      <c r="G148" s="22"/>
      <c r="H148" s="22"/>
      <c r="I148" s="22"/>
    </row>
    <row r="149" spans="1:9" ht="15">
      <c r="A149" s="67"/>
      <c r="B149" s="70"/>
      <c r="C149" s="10" t="s">
        <v>60</v>
      </c>
      <c r="D149" s="22">
        <f>SUM(E149:I149)</f>
        <v>0</v>
      </c>
      <c r="E149" s="22"/>
      <c r="F149" s="22"/>
      <c r="G149" s="22"/>
      <c r="H149" s="22"/>
      <c r="I149" s="22"/>
    </row>
    <row r="150" spans="1:9" ht="15">
      <c r="A150" s="67"/>
      <c r="B150" s="70"/>
      <c r="C150" s="10" t="s">
        <v>65</v>
      </c>
      <c r="D150" s="22">
        <f>SUM(E150:I150)</f>
        <v>2200</v>
      </c>
      <c r="E150" s="22"/>
      <c r="F150" s="22">
        <f>2200</f>
        <v>2200</v>
      </c>
      <c r="G150" s="22"/>
      <c r="H150" s="22"/>
      <c r="I150" s="22"/>
    </row>
    <row r="151" spans="1:9" ht="25.5">
      <c r="A151" s="67"/>
      <c r="B151" s="70"/>
      <c r="C151" s="10" t="s">
        <v>62</v>
      </c>
      <c r="D151" s="22">
        <f>SUM(E151:I151)</f>
        <v>0</v>
      </c>
      <c r="E151" s="22"/>
      <c r="F151" s="22"/>
      <c r="G151" s="22"/>
      <c r="H151" s="22"/>
      <c r="I151" s="22"/>
    </row>
    <row r="152" spans="1:9" ht="15">
      <c r="A152" s="68"/>
      <c r="B152" s="71"/>
      <c r="C152" s="10" t="s">
        <v>63</v>
      </c>
      <c r="D152" s="22">
        <f>SUM(E152:I152)</f>
        <v>0</v>
      </c>
      <c r="E152" s="22"/>
      <c r="F152" s="22"/>
      <c r="G152" s="22"/>
      <c r="H152" s="22"/>
      <c r="I152" s="22"/>
    </row>
    <row r="153" spans="1:9" ht="24.75" customHeight="1">
      <c r="A153" s="66"/>
      <c r="B153" s="69" t="s">
        <v>25</v>
      </c>
      <c r="C153" s="10" t="s">
        <v>58</v>
      </c>
      <c r="D153" s="22">
        <f>D154+D155+D156+D157+D158</f>
        <v>5000</v>
      </c>
      <c r="E153" s="22">
        <f>E154+E155+E156+E157+E158</f>
        <v>0</v>
      </c>
      <c r="F153" s="22">
        <f>F154+F155+F156+F157+F158</f>
        <v>5000</v>
      </c>
      <c r="G153" s="22">
        <f>G154+G155+G156+G157+G158</f>
        <v>0</v>
      </c>
      <c r="H153" s="22">
        <f>H154+H155+H156+H157+H158</f>
        <v>0</v>
      </c>
      <c r="I153" s="22">
        <f>I154+I155+I156+I157+I158</f>
        <v>0</v>
      </c>
    </row>
    <row r="154" spans="1:9" ht="15">
      <c r="A154" s="67"/>
      <c r="B154" s="70"/>
      <c r="C154" s="19" t="s">
        <v>59</v>
      </c>
      <c r="D154" s="22">
        <f>SUM(E154:I154)</f>
        <v>0</v>
      </c>
      <c r="E154" s="22"/>
      <c r="F154" s="22"/>
      <c r="G154" s="22"/>
      <c r="H154" s="22"/>
      <c r="I154" s="22"/>
    </row>
    <row r="155" spans="1:9" ht="15">
      <c r="A155" s="67"/>
      <c r="B155" s="70"/>
      <c r="C155" s="10" t="s">
        <v>60</v>
      </c>
      <c r="D155" s="22">
        <f>SUM(E155:I155)</f>
        <v>0</v>
      </c>
      <c r="E155" s="22"/>
      <c r="F155" s="22"/>
      <c r="G155" s="22"/>
      <c r="H155" s="22"/>
      <c r="I155" s="22"/>
    </row>
    <row r="156" spans="1:9" ht="15">
      <c r="A156" s="67"/>
      <c r="B156" s="70"/>
      <c r="C156" s="10" t="s">
        <v>65</v>
      </c>
      <c r="D156" s="22">
        <f>SUM(E156:I156)</f>
        <v>5000</v>
      </c>
      <c r="E156" s="22"/>
      <c r="F156" s="22">
        <f>5000</f>
        <v>5000</v>
      </c>
      <c r="G156" s="22"/>
      <c r="H156" s="22"/>
      <c r="I156" s="22"/>
    </row>
    <row r="157" spans="1:9" ht="25.5">
      <c r="A157" s="67"/>
      <c r="B157" s="70"/>
      <c r="C157" s="10" t="s">
        <v>62</v>
      </c>
      <c r="D157" s="22">
        <f>SUM(E157:I157)</f>
        <v>0</v>
      </c>
      <c r="E157" s="22"/>
      <c r="F157" s="22"/>
      <c r="G157" s="22"/>
      <c r="H157" s="22"/>
      <c r="I157" s="22"/>
    </row>
    <row r="158" spans="1:9" ht="15">
      <c r="A158" s="68"/>
      <c r="B158" s="71"/>
      <c r="C158" s="10" t="s">
        <v>63</v>
      </c>
      <c r="D158" s="22">
        <f>SUM(E158:I158)</f>
        <v>0</v>
      </c>
      <c r="E158" s="22"/>
      <c r="F158" s="22"/>
      <c r="G158" s="22"/>
      <c r="H158" s="22"/>
      <c r="I158" s="22"/>
    </row>
    <row r="159" spans="1:9" ht="24.75" customHeight="1">
      <c r="A159" s="66"/>
      <c r="B159" s="69" t="s">
        <v>26</v>
      </c>
      <c r="C159" s="10" t="s">
        <v>58</v>
      </c>
      <c r="D159" s="22">
        <f>D160+D161+D162+D163+D164</f>
        <v>2000</v>
      </c>
      <c r="E159" s="22">
        <f>E160+E161+E162+E163+E164</f>
        <v>0</v>
      </c>
      <c r="F159" s="22">
        <f>F160+F161+F162+F163+F164</f>
        <v>0</v>
      </c>
      <c r="G159" s="22">
        <f>G160+G161+G162+G163+G164</f>
        <v>2000</v>
      </c>
      <c r="H159" s="22">
        <f>H160+H161+H162+H163+H164</f>
        <v>0</v>
      </c>
      <c r="I159" s="22">
        <f>I160+I161+I162+I163+I164</f>
        <v>0</v>
      </c>
    </row>
    <row r="160" spans="1:9" ht="15">
      <c r="A160" s="67"/>
      <c r="B160" s="70"/>
      <c r="C160" s="19" t="s">
        <v>59</v>
      </c>
      <c r="D160" s="22">
        <f>SUM(E160:I160)</f>
        <v>0</v>
      </c>
      <c r="E160" s="22"/>
      <c r="F160" s="22"/>
      <c r="G160" s="22"/>
      <c r="H160" s="22"/>
      <c r="I160" s="22"/>
    </row>
    <row r="161" spans="1:9" ht="15">
      <c r="A161" s="67"/>
      <c r="B161" s="70"/>
      <c r="C161" s="10" t="s">
        <v>60</v>
      </c>
      <c r="D161" s="22">
        <f>SUM(E161:I161)</f>
        <v>0</v>
      </c>
      <c r="E161" s="22"/>
      <c r="F161" s="22"/>
      <c r="G161" s="22"/>
      <c r="H161" s="22"/>
      <c r="I161" s="22"/>
    </row>
    <row r="162" spans="1:9" ht="15">
      <c r="A162" s="67"/>
      <c r="B162" s="70"/>
      <c r="C162" s="10" t="s">
        <v>65</v>
      </c>
      <c r="D162" s="22">
        <f>SUM(E162:I162)</f>
        <v>2000</v>
      </c>
      <c r="E162" s="22"/>
      <c r="F162" s="22"/>
      <c r="G162" s="22">
        <f>2000</f>
        <v>2000</v>
      </c>
      <c r="H162" s="22"/>
      <c r="I162" s="22"/>
    </row>
    <row r="163" spans="1:9" ht="25.5">
      <c r="A163" s="67"/>
      <c r="B163" s="70"/>
      <c r="C163" s="10" t="s">
        <v>62</v>
      </c>
      <c r="D163" s="22">
        <f>SUM(E163:I163)</f>
        <v>0</v>
      </c>
      <c r="E163" s="22"/>
      <c r="F163" s="22"/>
      <c r="G163" s="22"/>
      <c r="H163" s="22"/>
      <c r="I163" s="22"/>
    </row>
    <row r="164" spans="1:9" ht="15">
      <c r="A164" s="68"/>
      <c r="B164" s="71"/>
      <c r="C164" s="10" t="s">
        <v>63</v>
      </c>
      <c r="D164" s="22">
        <f>SUM(E164:I164)</f>
        <v>0</v>
      </c>
      <c r="E164" s="22"/>
      <c r="F164" s="22"/>
      <c r="G164" s="22"/>
      <c r="H164" s="22"/>
      <c r="I164" s="22"/>
    </row>
    <row r="165" spans="1:9" ht="28.5" customHeight="1">
      <c r="A165" s="66"/>
      <c r="B165" s="69" t="s">
        <v>78</v>
      </c>
      <c r="C165" s="10" t="s">
        <v>58</v>
      </c>
      <c r="D165" s="22">
        <f>D166+D167+D168+D169+D170</f>
        <v>22569.27</v>
      </c>
      <c r="E165" s="22">
        <f>E166+E167+E168+E169+E170</f>
        <v>4100</v>
      </c>
      <c r="F165" s="22">
        <f>F166+F167+F168+F169+F170</f>
        <v>4387</v>
      </c>
      <c r="G165" s="22">
        <f>G166+G167+G168+G169+G170</f>
        <v>4694.09</v>
      </c>
      <c r="H165" s="22">
        <f>H166+H167+H168+H169+H170</f>
        <v>4694.09</v>
      </c>
      <c r="I165" s="22">
        <f>I166+I167+I168+I169+I170</f>
        <v>4694.09</v>
      </c>
    </row>
    <row r="166" spans="1:9" ht="15">
      <c r="A166" s="67"/>
      <c r="B166" s="70"/>
      <c r="C166" s="19" t="s">
        <v>59</v>
      </c>
      <c r="D166" s="22">
        <f>SUM(E166:I166)</f>
        <v>0</v>
      </c>
      <c r="E166" s="22"/>
      <c r="F166" s="22"/>
      <c r="G166" s="22"/>
      <c r="H166" s="22"/>
      <c r="I166" s="22"/>
    </row>
    <row r="167" spans="1:9" ht="15">
      <c r="A167" s="67"/>
      <c r="B167" s="70"/>
      <c r="C167" s="10" t="s">
        <v>60</v>
      </c>
      <c r="D167" s="22">
        <f>SUM(E167:I167)</f>
        <v>0</v>
      </c>
      <c r="E167" s="22"/>
      <c r="F167" s="22"/>
      <c r="G167" s="22"/>
      <c r="H167" s="22"/>
      <c r="I167" s="22"/>
    </row>
    <row r="168" spans="1:9" ht="15">
      <c r="A168" s="67"/>
      <c r="B168" s="70"/>
      <c r="C168" s="10" t="s">
        <v>65</v>
      </c>
      <c r="D168" s="22">
        <f>SUM(E168:I168)</f>
        <v>22569.27</v>
      </c>
      <c r="E168" s="22">
        <f>4100</f>
        <v>4100</v>
      </c>
      <c r="F168" s="22">
        <f>E168*1.07</f>
        <v>4387</v>
      </c>
      <c r="G168" s="22">
        <f>F168*1.07</f>
        <v>4694.09</v>
      </c>
      <c r="H168" s="22">
        <f>G168</f>
        <v>4694.09</v>
      </c>
      <c r="I168" s="22">
        <f>H168</f>
        <v>4694.09</v>
      </c>
    </row>
    <row r="169" spans="1:9" ht="25.5">
      <c r="A169" s="67"/>
      <c r="B169" s="70"/>
      <c r="C169" s="10" t="s">
        <v>62</v>
      </c>
      <c r="D169" s="22">
        <f>SUM(E169:I169)</f>
        <v>0</v>
      </c>
      <c r="E169" s="22"/>
      <c r="F169" s="22"/>
      <c r="G169" s="22"/>
      <c r="H169" s="22"/>
      <c r="I169" s="22"/>
    </row>
    <row r="170" spans="1:9" ht="15">
      <c r="A170" s="68"/>
      <c r="B170" s="71"/>
      <c r="C170" s="10" t="s">
        <v>63</v>
      </c>
      <c r="D170" s="22">
        <f>SUM(E170:I170)</f>
        <v>0</v>
      </c>
      <c r="E170" s="22"/>
      <c r="F170" s="22"/>
      <c r="G170" s="22"/>
      <c r="H170" s="22"/>
      <c r="I170" s="22"/>
    </row>
    <row r="171" spans="1:9" ht="24" customHeight="1">
      <c r="A171" s="66"/>
      <c r="B171" s="69" t="s">
        <v>27</v>
      </c>
      <c r="C171" s="10" t="s">
        <v>58</v>
      </c>
      <c r="D171" s="22">
        <f>D172+D173+D174+D175+D176</f>
        <v>4968</v>
      </c>
      <c r="E171" s="22">
        <f>E172+E173+E174+E175+E176</f>
        <v>1600</v>
      </c>
      <c r="F171" s="22">
        <f>F172+F173+F174+F175+F176</f>
        <v>800</v>
      </c>
      <c r="G171" s="22">
        <f>G172+G173+G174+G175+G176</f>
        <v>856</v>
      </c>
      <c r="H171" s="22">
        <f>H172+H173+H174+H175+H176</f>
        <v>856</v>
      </c>
      <c r="I171" s="22">
        <f>I172+I173+I174+I175+I176</f>
        <v>856</v>
      </c>
    </row>
    <row r="172" spans="1:9" ht="15">
      <c r="A172" s="67"/>
      <c r="B172" s="70"/>
      <c r="C172" s="19" t="s">
        <v>59</v>
      </c>
      <c r="D172" s="22">
        <f>SUM(E172:I172)</f>
        <v>0</v>
      </c>
      <c r="E172" s="22"/>
      <c r="F172" s="22"/>
      <c r="G172" s="22"/>
      <c r="H172" s="22"/>
      <c r="I172" s="22"/>
    </row>
    <row r="173" spans="1:9" ht="15">
      <c r="A173" s="67"/>
      <c r="B173" s="70"/>
      <c r="C173" s="10" t="s">
        <v>60</v>
      </c>
      <c r="D173" s="22">
        <f>SUM(E173:I173)</f>
        <v>0</v>
      </c>
      <c r="E173" s="22"/>
      <c r="F173" s="22"/>
      <c r="G173" s="22"/>
      <c r="H173" s="22"/>
      <c r="I173" s="22"/>
    </row>
    <row r="174" spans="1:9" ht="15">
      <c r="A174" s="67"/>
      <c r="B174" s="70"/>
      <c r="C174" s="10" t="s">
        <v>65</v>
      </c>
      <c r="D174" s="22">
        <f>SUM(E174:I174)</f>
        <v>4968</v>
      </c>
      <c r="E174" s="22">
        <f>1600</f>
        <v>1600</v>
      </c>
      <c r="F174" s="22">
        <f>800</f>
        <v>800</v>
      </c>
      <c r="G174" s="22">
        <f>F174*1.07</f>
        <v>856</v>
      </c>
      <c r="H174" s="22">
        <f>G174</f>
        <v>856</v>
      </c>
      <c r="I174" s="22">
        <f>H174</f>
        <v>856</v>
      </c>
    </row>
    <row r="175" spans="1:9" ht="25.5">
      <c r="A175" s="67"/>
      <c r="B175" s="70"/>
      <c r="C175" s="10" t="s">
        <v>62</v>
      </c>
      <c r="D175" s="22">
        <f>SUM(E175:I175)</f>
        <v>0</v>
      </c>
      <c r="E175" s="22"/>
      <c r="F175" s="22"/>
      <c r="G175" s="22"/>
      <c r="H175" s="22"/>
      <c r="I175" s="22"/>
    </row>
    <row r="176" spans="1:9" ht="15">
      <c r="A176" s="68"/>
      <c r="B176" s="71"/>
      <c r="C176" s="10" t="s">
        <v>63</v>
      </c>
      <c r="D176" s="22">
        <f>SUM(E176:I176)</f>
        <v>0</v>
      </c>
      <c r="E176" s="22"/>
      <c r="F176" s="22"/>
      <c r="G176" s="22"/>
      <c r="H176" s="22"/>
      <c r="I176" s="22"/>
    </row>
    <row r="177" spans="1:9" ht="27" customHeight="1">
      <c r="A177" s="66"/>
      <c r="B177" s="69" t="s">
        <v>79</v>
      </c>
      <c r="C177" s="10" t="s">
        <v>58</v>
      </c>
      <c r="D177" s="22">
        <f>D178+D179+D180+D181+D182</f>
        <v>157425.84246</v>
      </c>
      <c r="E177" s="22">
        <f>E178+E179+E180+E181+E182</f>
        <v>27221.8</v>
      </c>
      <c r="F177" s="22">
        <f>F178+F179+F180+F181+F182</f>
        <v>30927.326</v>
      </c>
      <c r="G177" s="22">
        <f>G178+G179+G180+G181+G182</f>
        <v>33092.23882</v>
      </c>
      <c r="H177" s="22">
        <f>H178+H179+H180+H181+H182</f>
        <v>33092.23882</v>
      </c>
      <c r="I177" s="22">
        <f>I178+I179+I180+I181+I182</f>
        <v>33092.23882</v>
      </c>
    </row>
    <row r="178" spans="1:9" ht="15">
      <c r="A178" s="67"/>
      <c r="B178" s="70"/>
      <c r="C178" s="19" t="s">
        <v>59</v>
      </c>
      <c r="D178" s="22">
        <f>SUM(E178:I178)</f>
        <v>0</v>
      </c>
      <c r="E178" s="22"/>
      <c r="F178" s="22"/>
      <c r="G178" s="22"/>
      <c r="H178" s="22"/>
      <c r="I178" s="22"/>
    </row>
    <row r="179" spans="1:9" ht="15">
      <c r="A179" s="67"/>
      <c r="B179" s="70"/>
      <c r="C179" s="10" t="s">
        <v>60</v>
      </c>
      <c r="D179" s="22">
        <f>SUM(E179:I179)</f>
        <v>149847.84246</v>
      </c>
      <c r="E179" s="22">
        <f>27069.8+152</f>
        <v>27221.8</v>
      </c>
      <c r="F179" s="22">
        <f>E179*1.07</f>
        <v>29127.326</v>
      </c>
      <c r="G179" s="22">
        <f>F179*1.07</f>
        <v>31166.238820000002</v>
      </c>
      <c r="H179" s="22">
        <f>G179</f>
        <v>31166.238820000002</v>
      </c>
      <c r="I179" s="22">
        <f>H179</f>
        <v>31166.238820000002</v>
      </c>
    </row>
    <row r="180" spans="1:9" ht="15">
      <c r="A180" s="67"/>
      <c r="B180" s="70"/>
      <c r="C180" s="10" t="s">
        <v>65</v>
      </c>
      <c r="D180" s="22">
        <f>SUM(E180:I180)</f>
        <v>7578</v>
      </c>
      <c r="E180" s="22"/>
      <c r="F180" s="22">
        <f>1800</f>
        <v>1800</v>
      </c>
      <c r="G180" s="22">
        <f>F180*1.07</f>
        <v>1926</v>
      </c>
      <c r="H180" s="22">
        <f>G180</f>
        <v>1926</v>
      </c>
      <c r="I180" s="22">
        <f>H180</f>
        <v>1926</v>
      </c>
    </row>
    <row r="181" spans="1:9" ht="25.5">
      <c r="A181" s="67"/>
      <c r="B181" s="70"/>
      <c r="C181" s="10" t="s">
        <v>62</v>
      </c>
      <c r="D181" s="22">
        <f>SUM(E181:I181)</f>
        <v>0</v>
      </c>
      <c r="E181" s="22"/>
      <c r="F181" s="22"/>
      <c r="G181" s="22"/>
      <c r="H181" s="22"/>
      <c r="I181" s="22"/>
    </row>
    <row r="182" spans="1:9" ht="15">
      <c r="A182" s="68"/>
      <c r="B182" s="71"/>
      <c r="C182" s="10" t="s">
        <v>63</v>
      </c>
      <c r="D182" s="22">
        <f>SUM(E182:I182)</f>
        <v>0</v>
      </c>
      <c r="E182" s="22"/>
      <c r="F182" s="22"/>
      <c r="G182" s="22"/>
      <c r="H182" s="22"/>
      <c r="I182" s="22"/>
    </row>
    <row r="183" spans="1:9" ht="26.25" customHeight="1">
      <c r="A183" s="66"/>
      <c r="B183" s="69" t="s">
        <v>28</v>
      </c>
      <c r="C183" s="10" t="s">
        <v>58</v>
      </c>
      <c r="D183" s="22">
        <f>D184+D185+D186+D187+D188</f>
        <v>900</v>
      </c>
      <c r="E183" s="22">
        <f>E184+E185+E186+E187+E188</f>
        <v>900</v>
      </c>
      <c r="F183" s="22">
        <f>F184+F185+F186+F187+F188</f>
        <v>0</v>
      </c>
      <c r="G183" s="22">
        <f>G184+G185+G186+G187+G188</f>
        <v>0</v>
      </c>
      <c r="H183" s="22">
        <f>H184+H185+H186+H187+H188</f>
        <v>0</v>
      </c>
      <c r="I183" s="22">
        <f>I184+I185+I186+I187+I188</f>
        <v>0</v>
      </c>
    </row>
    <row r="184" spans="1:9" ht="18.75" customHeight="1">
      <c r="A184" s="67"/>
      <c r="B184" s="70"/>
      <c r="C184" s="19" t="s">
        <v>59</v>
      </c>
      <c r="D184" s="22">
        <f>SUM(E184:I184)</f>
        <v>0</v>
      </c>
      <c r="E184" s="22"/>
      <c r="F184" s="22"/>
      <c r="G184" s="22"/>
      <c r="H184" s="22"/>
      <c r="I184" s="22"/>
    </row>
    <row r="185" spans="1:9" ht="17.25" customHeight="1">
      <c r="A185" s="67"/>
      <c r="B185" s="70"/>
      <c r="C185" s="10" t="s">
        <v>60</v>
      </c>
      <c r="D185" s="22">
        <f>SUM(E185:I185)</f>
        <v>0</v>
      </c>
      <c r="E185" s="22"/>
      <c r="F185" s="22"/>
      <c r="G185" s="22"/>
      <c r="H185" s="22"/>
      <c r="I185" s="22"/>
    </row>
    <row r="186" spans="1:9" ht="15.75" customHeight="1">
      <c r="A186" s="67"/>
      <c r="B186" s="70"/>
      <c r="C186" s="10" t="s">
        <v>65</v>
      </c>
      <c r="D186" s="22">
        <f>SUM(E186:I186)</f>
        <v>900</v>
      </c>
      <c r="E186" s="22">
        <f>900</f>
        <v>900</v>
      </c>
      <c r="F186" s="22"/>
      <c r="G186" s="22"/>
      <c r="H186" s="22"/>
      <c r="I186" s="22"/>
    </row>
    <row r="187" spans="1:9" ht="17.25" customHeight="1">
      <c r="A187" s="67"/>
      <c r="B187" s="70"/>
      <c r="C187" s="10" t="s">
        <v>62</v>
      </c>
      <c r="D187" s="22">
        <f>SUM(E187:I187)</f>
        <v>0</v>
      </c>
      <c r="E187" s="22"/>
      <c r="F187" s="22"/>
      <c r="G187" s="22"/>
      <c r="H187" s="22"/>
      <c r="I187" s="22"/>
    </row>
    <row r="188" spans="1:9" ht="17.25" customHeight="1">
      <c r="A188" s="68"/>
      <c r="B188" s="71"/>
      <c r="C188" s="10" t="s">
        <v>63</v>
      </c>
      <c r="D188" s="22">
        <f>SUM(E188:I188)</f>
        <v>0</v>
      </c>
      <c r="E188" s="22"/>
      <c r="F188" s="22"/>
      <c r="G188" s="22"/>
      <c r="H188" s="22"/>
      <c r="I188" s="22"/>
    </row>
    <row r="189" spans="1:9" ht="27" customHeight="1">
      <c r="A189" s="66"/>
      <c r="B189" s="69" t="s">
        <v>29</v>
      </c>
      <c r="C189" s="10" t="s">
        <v>58</v>
      </c>
      <c r="D189" s="22">
        <f>D190+D191+D192+D193+D194</f>
        <v>900</v>
      </c>
      <c r="E189" s="22">
        <f>E190+E191+E192+E193+E194</f>
        <v>900</v>
      </c>
      <c r="F189" s="22">
        <f>F190+F191+F192+F193+F194</f>
        <v>0</v>
      </c>
      <c r="G189" s="22">
        <f>G190+G191+G192+G193+G194</f>
        <v>0</v>
      </c>
      <c r="H189" s="22">
        <f>H190+H191+H192+H193+H194</f>
        <v>0</v>
      </c>
      <c r="I189" s="22">
        <f>I190+I191+I192+I193+I194</f>
        <v>0</v>
      </c>
    </row>
    <row r="190" spans="1:9" ht="15">
      <c r="A190" s="67"/>
      <c r="B190" s="70"/>
      <c r="C190" s="19" t="s">
        <v>59</v>
      </c>
      <c r="D190" s="22">
        <f>SUM(E190:I190)</f>
        <v>0</v>
      </c>
      <c r="E190" s="22"/>
      <c r="F190" s="22"/>
      <c r="G190" s="22"/>
      <c r="H190" s="22"/>
      <c r="I190" s="22"/>
    </row>
    <row r="191" spans="1:9" ht="15">
      <c r="A191" s="67"/>
      <c r="B191" s="70"/>
      <c r="C191" s="10" t="s">
        <v>60</v>
      </c>
      <c r="D191" s="22">
        <f>SUM(E191:I191)</f>
        <v>0</v>
      </c>
      <c r="E191" s="22"/>
      <c r="F191" s="22"/>
      <c r="G191" s="22"/>
      <c r="H191" s="22"/>
      <c r="I191" s="22"/>
    </row>
    <row r="192" spans="1:9" ht="15">
      <c r="A192" s="67"/>
      <c r="B192" s="70"/>
      <c r="C192" s="10" t="s">
        <v>65</v>
      </c>
      <c r="D192" s="22">
        <f>SUM(E192:I192)</f>
        <v>900</v>
      </c>
      <c r="E192" s="22">
        <f>900</f>
        <v>900</v>
      </c>
      <c r="F192" s="22"/>
      <c r="G192" s="22"/>
      <c r="H192" s="22"/>
      <c r="I192" s="22"/>
    </row>
    <row r="193" spans="1:9" ht="25.5">
      <c r="A193" s="67"/>
      <c r="B193" s="70"/>
      <c r="C193" s="10" t="s">
        <v>62</v>
      </c>
      <c r="D193" s="22">
        <f>SUM(E193:I193)</f>
        <v>0</v>
      </c>
      <c r="E193" s="22"/>
      <c r="F193" s="22"/>
      <c r="G193" s="22"/>
      <c r="H193" s="22"/>
      <c r="I193" s="22"/>
    </row>
    <row r="194" spans="1:9" ht="15">
      <c r="A194" s="68"/>
      <c r="B194" s="71"/>
      <c r="C194" s="10" t="s">
        <v>63</v>
      </c>
      <c r="D194" s="22">
        <f>SUM(E194:I194)</f>
        <v>0</v>
      </c>
      <c r="E194" s="22"/>
      <c r="F194" s="22"/>
      <c r="G194" s="22"/>
      <c r="H194" s="22"/>
      <c r="I194" s="22"/>
    </row>
    <row r="195" spans="1:9" ht="28.5" customHeight="1">
      <c r="A195" s="66"/>
      <c r="B195" s="69" t="s">
        <v>30</v>
      </c>
      <c r="C195" s="10" t="s">
        <v>58</v>
      </c>
      <c r="D195" s="22">
        <f>D196+D197+D198+D199+D200</f>
        <v>675</v>
      </c>
      <c r="E195" s="22">
        <f>E196+E197+E198+E199+E200</f>
        <v>135</v>
      </c>
      <c r="F195" s="22">
        <f>F196+F197+F198+F199+F200</f>
        <v>135</v>
      </c>
      <c r="G195" s="22">
        <f>G196+G197+G198+G199+G200</f>
        <v>135</v>
      </c>
      <c r="H195" s="22">
        <f>H196+H197+H198+H199+H200</f>
        <v>135</v>
      </c>
      <c r="I195" s="22">
        <f>I196+I197+I198+I199+I200</f>
        <v>135</v>
      </c>
    </row>
    <row r="196" spans="1:9" ht="15">
      <c r="A196" s="67"/>
      <c r="B196" s="70"/>
      <c r="C196" s="19" t="s">
        <v>59</v>
      </c>
      <c r="D196" s="22">
        <f>SUM(E196:I196)</f>
        <v>0</v>
      </c>
      <c r="E196" s="22"/>
      <c r="F196" s="22"/>
      <c r="G196" s="22"/>
      <c r="H196" s="22"/>
      <c r="I196" s="22"/>
    </row>
    <row r="197" spans="1:9" ht="15">
      <c r="A197" s="67"/>
      <c r="B197" s="70"/>
      <c r="C197" s="10" t="s">
        <v>60</v>
      </c>
      <c r="D197" s="22">
        <f>SUM(E197:I197)</f>
        <v>0</v>
      </c>
      <c r="E197" s="22"/>
      <c r="F197" s="22"/>
      <c r="G197" s="22"/>
      <c r="H197" s="22"/>
      <c r="I197" s="22"/>
    </row>
    <row r="198" spans="1:9" ht="15">
      <c r="A198" s="67"/>
      <c r="B198" s="70"/>
      <c r="C198" s="10" t="s">
        <v>65</v>
      </c>
      <c r="D198" s="22">
        <f>SUM(E198:I198)</f>
        <v>675</v>
      </c>
      <c r="E198" s="22">
        <f>135</f>
        <v>135</v>
      </c>
      <c r="F198" s="22">
        <f>135</f>
        <v>135</v>
      </c>
      <c r="G198" s="22">
        <f>135</f>
        <v>135</v>
      </c>
      <c r="H198" s="22">
        <f>135</f>
        <v>135</v>
      </c>
      <c r="I198" s="22">
        <f>135</f>
        <v>135</v>
      </c>
    </row>
    <row r="199" spans="1:9" ht="25.5">
      <c r="A199" s="67"/>
      <c r="B199" s="70"/>
      <c r="C199" s="10" t="s">
        <v>62</v>
      </c>
      <c r="D199" s="22">
        <f>SUM(E199:I199)</f>
        <v>0</v>
      </c>
      <c r="E199" s="22"/>
      <c r="F199" s="22"/>
      <c r="G199" s="22"/>
      <c r="H199" s="22"/>
      <c r="I199" s="22"/>
    </row>
    <row r="200" spans="1:9" ht="15">
      <c r="A200" s="68"/>
      <c r="B200" s="71"/>
      <c r="C200" s="10" t="s">
        <v>63</v>
      </c>
      <c r="D200" s="22">
        <f>SUM(E200:I200)</f>
        <v>0</v>
      </c>
      <c r="E200" s="22"/>
      <c r="F200" s="22"/>
      <c r="G200" s="22"/>
      <c r="H200" s="22"/>
      <c r="I200" s="22"/>
    </row>
    <row r="201" spans="1:9" ht="24.75" customHeight="1">
      <c r="A201" s="66"/>
      <c r="B201" s="69" t="s">
        <v>31</v>
      </c>
      <c r="C201" s="10" t="s">
        <v>58</v>
      </c>
      <c r="D201" s="22">
        <f>D202+D203+D204+D205+D206</f>
        <v>1500</v>
      </c>
      <c r="E201" s="22">
        <f>E202+E203+E204+E205+E206</f>
        <v>0</v>
      </c>
      <c r="F201" s="22">
        <f>F202+F203+F204+F205+F206</f>
        <v>1500</v>
      </c>
      <c r="G201" s="22">
        <f>G202+G203+G204+G205+G206</f>
        <v>0</v>
      </c>
      <c r="H201" s="22">
        <f>H202+H203+H204+H205+H206</f>
        <v>0</v>
      </c>
      <c r="I201" s="22">
        <f>I202+I203+I204+I205+I206</f>
        <v>0</v>
      </c>
    </row>
    <row r="202" spans="1:9" ht="15">
      <c r="A202" s="67"/>
      <c r="B202" s="70"/>
      <c r="C202" s="19" t="s">
        <v>59</v>
      </c>
      <c r="D202" s="22">
        <f>SUM(E202:I202)</f>
        <v>0</v>
      </c>
      <c r="E202" s="22"/>
      <c r="F202" s="22"/>
      <c r="G202" s="22"/>
      <c r="H202" s="22"/>
      <c r="I202" s="22"/>
    </row>
    <row r="203" spans="1:9" ht="15">
      <c r="A203" s="67"/>
      <c r="B203" s="70"/>
      <c r="C203" s="10" t="s">
        <v>60</v>
      </c>
      <c r="D203" s="22">
        <f>SUM(E203:I203)</f>
        <v>0</v>
      </c>
      <c r="E203" s="22"/>
      <c r="F203" s="22"/>
      <c r="G203" s="22"/>
      <c r="H203" s="22"/>
      <c r="I203" s="22"/>
    </row>
    <row r="204" spans="1:9" ht="15">
      <c r="A204" s="67"/>
      <c r="B204" s="70"/>
      <c r="C204" s="10" t="s">
        <v>65</v>
      </c>
      <c r="D204" s="22">
        <f>SUM(E204:I204)</f>
        <v>1500</v>
      </c>
      <c r="E204" s="22"/>
      <c r="F204" s="22">
        <f>1500</f>
        <v>1500</v>
      </c>
      <c r="G204" s="22"/>
      <c r="H204" s="22"/>
      <c r="I204" s="22"/>
    </row>
    <row r="205" spans="1:9" ht="25.5">
      <c r="A205" s="67"/>
      <c r="B205" s="70"/>
      <c r="C205" s="10" t="s">
        <v>62</v>
      </c>
      <c r="D205" s="22">
        <f>SUM(E205:I205)</f>
        <v>0</v>
      </c>
      <c r="E205" s="22"/>
      <c r="F205" s="22"/>
      <c r="G205" s="22"/>
      <c r="H205" s="22"/>
      <c r="I205" s="22"/>
    </row>
    <row r="206" spans="1:9" ht="15">
      <c r="A206" s="68"/>
      <c r="B206" s="71"/>
      <c r="C206" s="10" t="s">
        <v>63</v>
      </c>
      <c r="D206" s="22">
        <f>SUM(E206:I206)</f>
        <v>0</v>
      </c>
      <c r="E206" s="22"/>
      <c r="F206" s="22"/>
      <c r="G206" s="22"/>
      <c r="H206" s="22"/>
      <c r="I206" s="22"/>
    </row>
    <row r="207" spans="1:9" ht="27" customHeight="1">
      <c r="A207" s="66"/>
      <c r="B207" s="69" t="s">
        <v>32</v>
      </c>
      <c r="C207" s="10" t="s">
        <v>58</v>
      </c>
      <c r="D207" s="22">
        <f>D208+D209+D210+D211+D212</f>
        <v>825.705</v>
      </c>
      <c r="E207" s="22">
        <f>E208+E209+E210+E211+E212</f>
        <v>150</v>
      </c>
      <c r="F207" s="22">
        <f>F208+F209+F210+F211+F212</f>
        <v>160.5</v>
      </c>
      <c r="G207" s="22">
        <f>G208+G209+G210+G211+G212</f>
        <v>171.735</v>
      </c>
      <c r="H207" s="22">
        <f>H208+H209+H210+H211+H212</f>
        <v>171.735</v>
      </c>
      <c r="I207" s="22">
        <f>I208+I209+I210+I211+I212</f>
        <v>171.735</v>
      </c>
    </row>
    <row r="208" spans="1:9" ht="15">
      <c r="A208" s="67"/>
      <c r="B208" s="70"/>
      <c r="C208" s="19" t="s">
        <v>59</v>
      </c>
      <c r="D208" s="22">
        <f>SUM(E208:I208)</f>
        <v>0</v>
      </c>
      <c r="E208" s="22"/>
      <c r="F208" s="22"/>
      <c r="G208" s="22"/>
      <c r="H208" s="22"/>
      <c r="I208" s="22"/>
    </row>
    <row r="209" spans="1:9" ht="15">
      <c r="A209" s="67"/>
      <c r="B209" s="70"/>
      <c r="C209" s="10" t="s">
        <v>60</v>
      </c>
      <c r="D209" s="22">
        <f>SUM(E209:I209)</f>
        <v>0</v>
      </c>
      <c r="E209" s="22"/>
      <c r="F209" s="22"/>
      <c r="G209" s="22"/>
      <c r="H209" s="22"/>
      <c r="I209" s="22"/>
    </row>
    <row r="210" spans="1:9" ht="15">
      <c r="A210" s="67"/>
      <c r="B210" s="70"/>
      <c r="C210" s="10" t="s">
        <v>65</v>
      </c>
      <c r="D210" s="22">
        <f>SUM(E210:I210)</f>
        <v>825.705</v>
      </c>
      <c r="E210" s="22">
        <f>150</f>
        <v>150</v>
      </c>
      <c r="F210" s="22">
        <f>E210*1.07</f>
        <v>160.5</v>
      </c>
      <c r="G210" s="22">
        <f>F210*1.07</f>
        <v>171.735</v>
      </c>
      <c r="H210" s="22">
        <f>G210</f>
        <v>171.735</v>
      </c>
      <c r="I210" s="22">
        <f>H210</f>
        <v>171.735</v>
      </c>
    </row>
    <row r="211" spans="1:9" ht="25.5">
      <c r="A211" s="67"/>
      <c r="B211" s="70"/>
      <c r="C211" s="10" t="s">
        <v>62</v>
      </c>
      <c r="D211" s="22">
        <f>SUM(E211:I211)</f>
        <v>0</v>
      </c>
      <c r="E211" s="22"/>
      <c r="F211" s="22"/>
      <c r="G211" s="22"/>
      <c r="H211" s="22"/>
      <c r="I211" s="22"/>
    </row>
    <row r="212" spans="1:9" ht="15">
      <c r="A212" s="68"/>
      <c r="B212" s="71"/>
      <c r="C212" s="10" t="s">
        <v>63</v>
      </c>
      <c r="D212" s="22">
        <f>SUM(E212:I212)</f>
        <v>0</v>
      </c>
      <c r="E212" s="22"/>
      <c r="F212" s="22"/>
      <c r="G212" s="22"/>
      <c r="H212" s="22"/>
      <c r="I212" s="22"/>
    </row>
    <row r="213" spans="1:9" ht="24" customHeight="1">
      <c r="A213" s="66"/>
      <c r="B213" s="69" t="s">
        <v>33</v>
      </c>
      <c r="C213" s="10" t="s">
        <v>58</v>
      </c>
      <c r="D213" s="22">
        <f>D214+D215+D216+D217+D218</f>
        <v>9489.00186</v>
      </c>
      <c r="E213" s="22">
        <f>E214+E215+E216+E217+E218</f>
        <v>1723.8</v>
      </c>
      <c r="F213" s="22">
        <f>F214+F215+F216+F217+F218</f>
        <v>1844.4660000000001</v>
      </c>
      <c r="G213" s="22">
        <f>G214+G215+G216+G217+G218</f>
        <v>1973.5786200000002</v>
      </c>
      <c r="H213" s="22">
        <f>H214+H215+H216+H217+H218</f>
        <v>1973.5786200000002</v>
      </c>
      <c r="I213" s="22">
        <f>I214+I215+I216+I217+I218</f>
        <v>1973.5786200000002</v>
      </c>
    </row>
    <row r="214" spans="1:9" ht="15">
      <c r="A214" s="67"/>
      <c r="B214" s="70"/>
      <c r="C214" s="19" t="s">
        <v>59</v>
      </c>
      <c r="D214" s="22">
        <f>SUM(E214:I214)</f>
        <v>0</v>
      </c>
      <c r="E214" s="22"/>
      <c r="F214" s="22"/>
      <c r="G214" s="22"/>
      <c r="H214" s="22"/>
      <c r="I214" s="22"/>
    </row>
    <row r="215" spans="1:9" ht="15">
      <c r="A215" s="67"/>
      <c r="B215" s="70"/>
      <c r="C215" s="10" t="s">
        <v>60</v>
      </c>
      <c r="D215" s="22">
        <f>SUM(E215:I215)</f>
        <v>9489.00186</v>
      </c>
      <c r="E215" s="22">
        <f>1723.8</f>
        <v>1723.8</v>
      </c>
      <c r="F215" s="22">
        <f>E215*1.07</f>
        <v>1844.4660000000001</v>
      </c>
      <c r="G215" s="22">
        <f>F215*1.07</f>
        <v>1973.5786200000002</v>
      </c>
      <c r="H215" s="22">
        <f>G215</f>
        <v>1973.5786200000002</v>
      </c>
      <c r="I215" s="22">
        <f>H215</f>
        <v>1973.5786200000002</v>
      </c>
    </row>
    <row r="216" spans="1:9" ht="15">
      <c r="A216" s="67"/>
      <c r="B216" s="70"/>
      <c r="C216" s="10" t="s">
        <v>65</v>
      </c>
      <c r="D216" s="22">
        <f>SUM(E216:I216)</f>
        <v>0</v>
      </c>
      <c r="E216" s="22"/>
      <c r="F216" s="22"/>
      <c r="G216" s="22"/>
      <c r="H216" s="22"/>
      <c r="I216" s="22"/>
    </row>
    <row r="217" spans="1:9" ht="25.5">
      <c r="A217" s="67"/>
      <c r="B217" s="70"/>
      <c r="C217" s="10" t="s">
        <v>62</v>
      </c>
      <c r="D217" s="22">
        <f>SUM(E217:I217)</f>
        <v>0</v>
      </c>
      <c r="E217" s="22"/>
      <c r="F217" s="22"/>
      <c r="G217" s="22"/>
      <c r="H217" s="22"/>
      <c r="I217" s="22"/>
    </row>
    <row r="218" spans="1:9" ht="15">
      <c r="A218" s="68"/>
      <c r="B218" s="71"/>
      <c r="C218" s="10" t="s">
        <v>63</v>
      </c>
      <c r="D218" s="22">
        <f>SUM(E218:I218)</f>
        <v>0</v>
      </c>
      <c r="E218" s="22"/>
      <c r="F218" s="22"/>
      <c r="G218" s="22"/>
      <c r="H218" s="22"/>
      <c r="I218" s="22"/>
    </row>
    <row r="219" spans="1:9" ht="25.5" customHeight="1">
      <c r="A219" s="66"/>
      <c r="B219" s="69" t="s">
        <v>34</v>
      </c>
      <c r="C219" s="10" t="s">
        <v>58</v>
      </c>
      <c r="D219" s="22">
        <f>D220+D221+D222+D223+D224</f>
        <v>49.54230000000001</v>
      </c>
      <c r="E219" s="22">
        <f>E220+E221+E222+E223+E224</f>
        <v>9</v>
      </c>
      <c r="F219" s="22">
        <f>F220+F221+F222+F223+F224</f>
        <v>9.63</v>
      </c>
      <c r="G219" s="22">
        <f>G220+G221+G222+G223+G224</f>
        <v>10.304100000000002</v>
      </c>
      <c r="H219" s="22">
        <f>H220+H221+H222+H223+H224</f>
        <v>10.304100000000002</v>
      </c>
      <c r="I219" s="22">
        <f>I220+I221+I222+I223+I224</f>
        <v>10.304100000000002</v>
      </c>
    </row>
    <row r="220" spans="1:9" ht="15">
      <c r="A220" s="67"/>
      <c r="B220" s="70"/>
      <c r="C220" s="19" t="s">
        <v>59</v>
      </c>
      <c r="D220" s="22">
        <f>SUM(E220:I220)</f>
        <v>0</v>
      </c>
      <c r="E220" s="22"/>
      <c r="F220" s="22"/>
      <c r="G220" s="22"/>
      <c r="H220" s="22"/>
      <c r="I220" s="22"/>
    </row>
    <row r="221" spans="1:9" ht="15">
      <c r="A221" s="67"/>
      <c r="B221" s="70"/>
      <c r="C221" s="10" t="s">
        <v>60</v>
      </c>
      <c r="D221" s="22">
        <f>SUM(E221:I221)</f>
        <v>0</v>
      </c>
      <c r="E221" s="22"/>
      <c r="F221" s="22"/>
      <c r="G221" s="22"/>
      <c r="H221" s="22"/>
      <c r="I221" s="22"/>
    </row>
    <row r="222" spans="1:9" ht="15">
      <c r="A222" s="67"/>
      <c r="B222" s="70"/>
      <c r="C222" s="10" t="s">
        <v>65</v>
      </c>
      <c r="D222" s="22">
        <f>SUM(E222:I222)</f>
        <v>49.54230000000001</v>
      </c>
      <c r="E222" s="22">
        <f>9</f>
        <v>9</v>
      </c>
      <c r="F222" s="22">
        <f>E222*1.07</f>
        <v>9.63</v>
      </c>
      <c r="G222" s="22">
        <f>F222*1.07</f>
        <v>10.304100000000002</v>
      </c>
      <c r="H222" s="22">
        <f>G222</f>
        <v>10.304100000000002</v>
      </c>
      <c r="I222" s="22">
        <f>H222</f>
        <v>10.304100000000002</v>
      </c>
    </row>
    <row r="223" spans="1:9" ht="25.5">
      <c r="A223" s="67"/>
      <c r="B223" s="70"/>
      <c r="C223" s="10" t="s">
        <v>62</v>
      </c>
      <c r="D223" s="22">
        <f>SUM(E223:I223)</f>
        <v>0</v>
      </c>
      <c r="E223" s="22"/>
      <c r="F223" s="22"/>
      <c r="G223" s="22"/>
      <c r="H223" s="22"/>
      <c r="I223" s="22"/>
    </row>
    <row r="224" spans="1:9" ht="15">
      <c r="A224" s="68"/>
      <c r="B224" s="71"/>
      <c r="C224" s="10" t="s">
        <v>63</v>
      </c>
      <c r="D224" s="22">
        <f>SUM(E224:I224)</f>
        <v>0</v>
      </c>
      <c r="E224" s="22"/>
      <c r="F224" s="22"/>
      <c r="G224" s="22"/>
      <c r="H224" s="22"/>
      <c r="I224" s="22"/>
    </row>
    <row r="225" spans="1:9" ht="27" customHeight="1">
      <c r="A225" s="66"/>
      <c r="B225" s="72" t="s">
        <v>17</v>
      </c>
      <c r="C225" s="10" t="s">
        <v>58</v>
      </c>
      <c r="D225" s="22">
        <f>D231+D237</f>
        <v>46802.61081</v>
      </c>
      <c r="E225" s="22">
        <f>E231+E237</f>
        <v>8502.3</v>
      </c>
      <c r="F225" s="22">
        <f>F231+F237</f>
        <v>9097.461</v>
      </c>
      <c r="G225" s="22">
        <f>G231+G237</f>
        <v>9734.28327</v>
      </c>
      <c r="H225" s="22">
        <f>H231+H237</f>
        <v>9734.28327</v>
      </c>
      <c r="I225" s="22">
        <f>I231+I237</f>
        <v>9734.28327</v>
      </c>
    </row>
    <row r="226" spans="1:9" ht="15">
      <c r="A226" s="67"/>
      <c r="B226" s="73"/>
      <c r="C226" s="19" t="s">
        <v>59</v>
      </c>
      <c r="D226" s="22">
        <f aca="true" t="shared" si="4" ref="D226:I230">D232+D238</f>
        <v>0</v>
      </c>
      <c r="E226" s="22">
        <f t="shared" si="4"/>
        <v>0</v>
      </c>
      <c r="F226" s="22">
        <f t="shared" si="4"/>
        <v>0</v>
      </c>
      <c r="G226" s="22">
        <f t="shared" si="4"/>
        <v>0</v>
      </c>
      <c r="H226" s="22">
        <f t="shared" si="4"/>
        <v>0</v>
      </c>
      <c r="I226" s="22">
        <f t="shared" si="4"/>
        <v>0</v>
      </c>
    </row>
    <row r="227" spans="1:9" ht="15">
      <c r="A227" s="67"/>
      <c r="B227" s="73"/>
      <c r="C227" s="10" t="s">
        <v>60</v>
      </c>
      <c r="D227" s="22">
        <f t="shared" si="4"/>
        <v>0</v>
      </c>
      <c r="E227" s="22">
        <f t="shared" si="4"/>
        <v>0</v>
      </c>
      <c r="F227" s="22">
        <f t="shared" si="4"/>
        <v>0</v>
      </c>
      <c r="G227" s="22">
        <f t="shared" si="4"/>
        <v>0</v>
      </c>
      <c r="H227" s="22">
        <f t="shared" si="4"/>
        <v>0</v>
      </c>
      <c r="I227" s="22">
        <f t="shared" si="4"/>
        <v>0</v>
      </c>
    </row>
    <row r="228" spans="1:9" ht="15">
      <c r="A228" s="67"/>
      <c r="B228" s="73"/>
      <c r="C228" s="10" t="s">
        <v>65</v>
      </c>
      <c r="D228" s="22">
        <f t="shared" si="4"/>
        <v>46802.61081</v>
      </c>
      <c r="E228" s="22">
        <f t="shared" si="4"/>
        <v>8502.3</v>
      </c>
      <c r="F228" s="22">
        <f t="shared" si="4"/>
        <v>9097.461</v>
      </c>
      <c r="G228" s="22">
        <f t="shared" si="4"/>
        <v>9734.28327</v>
      </c>
      <c r="H228" s="22">
        <f t="shared" si="4"/>
        <v>9734.28327</v>
      </c>
      <c r="I228" s="22">
        <f t="shared" si="4"/>
        <v>9734.28327</v>
      </c>
    </row>
    <row r="229" spans="1:9" ht="25.5">
      <c r="A229" s="67"/>
      <c r="B229" s="73"/>
      <c r="C229" s="10" t="s">
        <v>62</v>
      </c>
      <c r="D229" s="22">
        <f t="shared" si="4"/>
        <v>0</v>
      </c>
      <c r="E229" s="22">
        <f t="shared" si="4"/>
        <v>0</v>
      </c>
      <c r="F229" s="22">
        <f t="shared" si="4"/>
        <v>0</v>
      </c>
      <c r="G229" s="22">
        <f t="shared" si="4"/>
        <v>0</v>
      </c>
      <c r="H229" s="22">
        <f t="shared" si="4"/>
        <v>0</v>
      </c>
      <c r="I229" s="22">
        <f t="shared" si="4"/>
        <v>0</v>
      </c>
    </row>
    <row r="230" spans="1:9" ht="15">
      <c r="A230" s="68"/>
      <c r="B230" s="74"/>
      <c r="C230" s="10" t="s">
        <v>63</v>
      </c>
      <c r="D230" s="22">
        <f t="shared" si="4"/>
        <v>0</v>
      </c>
      <c r="E230" s="22">
        <f t="shared" si="4"/>
        <v>0</v>
      </c>
      <c r="F230" s="22">
        <f t="shared" si="4"/>
        <v>0</v>
      </c>
      <c r="G230" s="22">
        <f t="shared" si="4"/>
        <v>0</v>
      </c>
      <c r="H230" s="22">
        <f t="shared" si="4"/>
        <v>0</v>
      </c>
      <c r="I230" s="22">
        <f t="shared" si="4"/>
        <v>0</v>
      </c>
    </row>
    <row r="231" spans="1:9" ht="21.75" customHeight="1">
      <c r="A231" s="66"/>
      <c r="B231" s="69" t="s">
        <v>18</v>
      </c>
      <c r="C231" s="10" t="s">
        <v>58</v>
      </c>
      <c r="D231" s="22">
        <f>SUM(D232:D236)</f>
        <v>46802.61081</v>
      </c>
      <c r="E231" s="22">
        <f>SUM(E232:E236)</f>
        <v>8502.3</v>
      </c>
      <c r="F231" s="22">
        <f>SUM(F232:F236)</f>
        <v>9097.461</v>
      </c>
      <c r="G231" s="22">
        <f>SUM(G232:G236)</f>
        <v>9734.28327</v>
      </c>
      <c r="H231" s="22">
        <f>SUM(H232:H236)</f>
        <v>9734.28327</v>
      </c>
      <c r="I231" s="22">
        <f>SUM(I232:I236)</f>
        <v>9734.28327</v>
      </c>
    </row>
    <row r="232" spans="1:9" ht="15">
      <c r="A232" s="67"/>
      <c r="B232" s="70"/>
      <c r="C232" s="19" t="s">
        <v>59</v>
      </c>
      <c r="D232" s="22">
        <f>SUM(E232:I232)</f>
        <v>0</v>
      </c>
      <c r="E232" s="22"/>
      <c r="F232" s="22"/>
      <c r="G232" s="22"/>
      <c r="H232" s="22"/>
      <c r="I232" s="22"/>
    </row>
    <row r="233" spans="1:9" ht="15">
      <c r="A233" s="67"/>
      <c r="B233" s="70"/>
      <c r="C233" s="10" t="s">
        <v>60</v>
      </c>
      <c r="D233" s="22">
        <f>SUM(E233:I233)</f>
        <v>0</v>
      </c>
      <c r="E233" s="22"/>
      <c r="F233" s="22"/>
      <c r="G233" s="22"/>
      <c r="H233" s="22"/>
      <c r="I233" s="22"/>
    </row>
    <row r="234" spans="1:9" ht="15">
      <c r="A234" s="67"/>
      <c r="B234" s="70"/>
      <c r="C234" s="10" t="s">
        <v>65</v>
      </c>
      <c r="D234" s="22">
        <f>SUM(E234:I234)</f>
        <v>46802.61081</v>
      </c>
      <c r="E234" s="22">
        <f>8238.5+263.8</f>
        <v>8502.3</v>
      </c>
      <c r="F234" s="22">
        <f>E234*1.07</f>
        <v>9097.461</v>
      </c>
      <c r="G234" s="22">
        <f>F234*1.07</f>
        <v>9734.28327</v>
      </c>
      <c r="H234" s="22">
        <f>G234</f>
        <v>9734.28327</v>
      </c>
      <c r="I234" s="22">
        <f>H234</f>
        <v>9734.28327</v>
      </c>
    </row>
    <row r="235" spans="1:9" ht="25.5">
      <c r="A235" s="67"/>
      <c r="B235" s="70"/>
      <c r="C235" s="10" t="s">
        <v>62</v>
      </c>
      <c r="D235" s="22">
        <f>SUM(E235:I235)</f>
        <v>0</v>
      </c>
      <c r="E235" s="22"/>
      <c r="F235" s="22"/>
      <c r="G235" s="22"/>
      <c r="H235" s="22"/>
      <c r="I235" s="22"/>
    </row>
    <row r="236" spans="1:9" ht="15">
      <c r="A236" s="67"/>
      <c r="B236" s="71"/>
      <c r="C236" s="10" t="s">
        <v>63</v>
      </c>
      <c r="D236" s="22">
        <f>SUM(E236:I236)</f>
        <v>0</v>
      </c>
      <c r="E236" s="22"/>
      <c r="F236" s="22"/>
      <c r="G236" s="22"/>
      <c r="H236" s="22"/>
      <c r="I236" s="22"/>
    </row>
    <row r="237" spans="1:9" ht="24" customHeight="1">
      <c r="A237" s="66"/>
      <c r="B237" s="69" t="s">
        <v>19</v>
      </c>
      <c r="C237" s="10" t="s">
        <v>58</v>
      </c>
      <c r="D237" s="22">
        <f>SUM(D238:D242)</f>
        <v>0</v>
      </c>
      <c r="E237" s="22">
        <f>SUM(E238:E242)</f>
        <v>0</v>
      </c>
      <c r="F237" s="22">
        <f>SUM(F238:F242)</f>
        <v>0</v>
      </c>
      <c r="G237" s="22">
        <f>SUM(G238:G242)</f>
        <v>0</v>
      </c>
      <c r="H237" s="22">
        <f>SUM(H238:H242)</f>
        <v>0</v>
      </c>
      <c r="I237" s="22">
        <f>SUM(I238:I242)</f>
        <v>0</v>
      </c>
    </row>
    <row r="238" spans="1:9" ht="15">
      <c r="A238" s="67"/>
      <c r="B238" s="70"/>
      <c r="C238" s="19" t="s">
        <v>59</v>
      </c>
      <c r="D238" s="22">
        <f>SUM(E238:I238)</f>
        <v>0</v>
      </c>
      <c r="E238" s="22"/>
      <c r="F238" s="22"/>
      <c r="G238" s="22"/>
      <c r="H238" s="22"/>
      <c r="I238" s="22"/>
    </row>
    <row r="239" spans="1:9" ht="15">
      <c r="A239" s="67"/>
      <c r="B239" s="70"/>
      <c r="C239" s="10" t="s">
        <v>60</v>
      </c>
      <c r="D239" s="22">
        <f>SUM(E239:I239)</f>
        <v>0</v>
      </c>
      <c r="E239" s="22"/>
      <c r="F239" s="22"/>
      <c r="G239" s="22"/>
      <c r="H239" s="22"/>
      <c r="I239" s="22"/>
    </row>
    <row r="240" spans="1:9" ht="15">
      <c r="A240" s="67"/>
      <c r="B240" s="70"/>
      <c r="C240" s="10" t="s">
        <v>65</v>
      </c>
      <c r="D240" s="22">
        <f>SUM(E240:I240)</f>
        <v>0</v>
      </c>
      <c r="E240" s="22"/>
      <c r="F240" s="22"/>
      <c r="G240" s="22"/>
      <c r="H240" s="22"/>
      <c r="I240" s="22"/>
    </row>
    <row r="241" spans="1:9" ht="25.5">
      <c r="A241" s="67"/>
      <c r="B241" s="70"/>
      <c r="C241" s="10" t="s">
        <v>62</v>
      </c>
      <c r="D241" s="22">
        <f>SUM(E241:I241)</f>
        <v>0</v>
      </c>
      <c r="E241" s="22"/>
      <c r="F241" s="22"/>
      <c r="G241" s="22"/>
      <c r="H241" s="22"/>
      <c r="I241" s="22"/>
    </row>
    <row r="242" spans="1:9" ht="15">
      <c r="A242" s="68"/>
      <c r="B242" s="71"/>
      <c r="C242" s="10" t="s">
        <v>63</v>
      </c>
      <c r="D242" s="22">
        <f>SUM(E242:I242)</f>
        <v>0</v>
      </c>
      <c r="E242" s="22"/>
      <c r="F242" s="22"/>
      <c r="G242" s="22"/>
      <c r="H242" s="22"/>
      <c r="I242" s="22"/>
    </row>
    <row r="243" spans="1:9" ht="26.25" customHeight="1">
      <c r="A243" s="66"/>
      <c r="B243" s="72" t="s">
        <v>81</v>
      </c>
      <c r="C243" s="10" t="s">
        <v>58</v>
      </c>
      <c r="D243" s="22">
        <f>D249+D255</f>
        <v>12144.524187</v>
      </c>
      <c r="E243" s="22">
        <f>E249+E255</f>
        <v>2206.21</v>
      </c>
      <c r="F243" s="22">
        <f>F249+F255</f>
        <v>2360.6447</v>
      </c>
      <c r="G243" s="22">
        <f>G249+G255</f>
        <v>2525.889829</v>
      </c>
      <c r="H243" s="22">
        <f>H249+H255</f>
        <v>2525.889829</v>
      </c>
      <c r="I243" s="22">
        <f>I249+I255</f>
        <v>2525.889829</v>
      </c>
    </row>
    <row r="244" spans="1:9" ht="15">
      <c r="A244" s="67"/>
      <c r="B244" s="73"/>
      <c r="C244" s="19" t="s">
        <v>59</v>
      </c>
      <c r="D244" s="22">
        <f aca="true" t="shared" si="5" ref="D244:I248">D250+D256</f>
        <v>0</v>
      </c>
      <c r="E244" s="22">
        <f t="shared" si="5"/>
        <v>0</v>
      </c>
      <c r="F244" s="22">
        <f t="shared" si="5"/>
        <v>0</v>
      </c>
      <c r="G244" s="22">
        <f t="shared" si="5"/>
        <v>0</v>
      </c>
      <c r="H244" s="22">
        <f t="shared" si="5"/>
        <v>0</v>
      </c>
      <c r="I244" s="22">
        <f t="shared" si="5"/>
        <v>0</v>
      </c>
    </row>
    <row r="245" spans="1:9" ht="15">
      <c r="A245" s="67"/>
      <c r="B245" s="73"/>
      <c r="C245" s="10" t="s">
        <v>60</v>
      </c>
      <c r="D245" s="22">
        <f t="shared" si="5"/>
        <v>7789.2055470000005</v>
      </c>
      <c r="E245" s="22">
        <f t="shared" si="5"/>
        <v>1415.01</v>
      </c>
      <c r="F245" s="22">
        <f t="shared" si="5"/>
        <v>1514.0607</v>
      </c>
      <c r="G245" s="22">
        <f t="shared" si="5"/>
        <v>1620.044949</v>
      </c>
      <c r="H245" s="22">
        <f t="shared" si="5"/>
        <v>1620.044949</v>
      </c>
      <c r="I245" s="22">
        <f t="shared" si="5"/>
        <v>1620.044949</v>
      </c>
    </row>
    <row r="246" spans="1:9" ht="15">
      <c r="A246" s="67"/>
      <c r="B246" s="73"/>
      <c r="C246" s="10" t="s">
        <v>65</v>
      </c>
      <c r="D246" s="22">
        <f t="shared" si="5"/>
        <v>4355.31864</v>
      </c>
      <c r="E246" s="22">
        <f t="shared" si="5"/>
        <v>791.2</v>
      </c>
      <c r="F246" s="22">
        <f t="shared" si="5"/>
        <v>846.5840000000001</v>
      </c>
      <c r="G246" s="22">
        <f t="shared" si="5"/>
        <v>905.8448800000001</v>
      </c>
      <c r="H246" s="22">
        <f t="shared" si="5"/>
        <v>905.8448800000001</v>
      </c>
      <c r="I246" s="22">
        <f t="shared" si="5"/>
        <v>905.8448800000001</v>
      </c>
    </row>
    <row r="247" spans="1:9" ht="25.5">
      <c r="A247" s="67"/>
      <c r="B247" s="73"/>
      <c r="C247" s="10" t="s">
        <v>62</v>
      </c>
      <c r="D247" s="22">
        <f t="shared" si="5"/>
        <v>0</v>
      </c>
      <c r="E247" s="22">
        <f t="shared" si="5"/>
        <v>0</v>
      </c>
      <c r="F247" s="22">
        <f t="shared" si="5"/>
        <v>0</v>
      </c>
      <c r="G247" s="22">
        <f t="shared" si="5"/>
        <v>0</v>
      </c>
      <c r="H247" s="22">
        <f t="shared" si="5"/>
        <v>0</v>
      </c>
      <c r="I247" s="22">
        <f t="shared" si="5"/>
        <v>0</v>
      </c>
    </row>
    <row r="248" spans="1:9" ht="15">
      <c r="A248" s="68"/>
      <c r="B248" s="74"/>
      <c r="C248" s="10" t="s">
        <v>63</v>
      </c>
      <c r="D248" s="22">
        <f t="shared" si="5"/>
        <v>0</v>
      </c>
      <c r="E248" s="22">
        <f t="shared" si="5"/>
        <v>0</v>
      </c>
      <c r="F248" s="22">
        <f t="shared" si="5"/>
        <v>0</v>
      </c>
      <c r="G248" s="22">
        <f t="shared" si="5"/>
        <v>0</v>
      </c>
      <c r="H248" s="22">
        <f t="shared" si="5"/>
        <v>0</v>
      </c>
      <c r="I248" s="22">
        <f t="shared" si="5"/>
        <v>0</v>
      </c>
    </row>
    <row r="249" spans="1:9" ht="24" customHeight="1">
      <c r="A249" s="66"/>
      <c r="B249" s="69" t="s">
        <v>80</v>
      </c>
      <c r="C249" s="10" t="s">
        <v>58</v>
      </c>
      <c r="D249" s="22">
        <f>D250+D251+D252+D253+D254</f>
        <v>12144.524187</v>
      </c>
      <c r="E249" s="22">
        <f>E250+E251+E252+E253+E254</f>
        <v>2206.21</v>
      </c>
      <c r="F249" s="22">
        <f>F250+F251+F252+F253+F254</f>
        <v>2360.6447</v>
      </c>
      <c r="G249" s="22">
        <f>G250+G251+G252+G253+G254</f>
        <v>2525.889829</v>
      </c>
      <c r="H249" s="22">
        <f>H250+H251+H252+H253+H254</f>
        <v>2525.889829</v>
      </c>
      <c r="I249" s="22">
        <f>I250+I251+I252+I253+I254</f>
        <v>2525.889829</v>
      </c>
    </row>
    <row r="250" spans="1:9" ht="15">
      <c r="A250" s="67"/>
      <c r="B250" s="70"/>
      <c r="C250" s="19" t="s">
        <v>59</v>
      </c>
      <c r="D250" s="22">
        <f>SUM(E250:I250)</f>
        <v>0</v>
      </c>
      <c r="E250" s="22"/>
      <c r="F250" s="22"/>
      <c r="G250" s="22"/>
      <c r="H250" s="22"/>
      <c r="I250" s="22"/>
    </row>
    <row r="251" spans="1:9" ht="15">
      <c r="A251" s="67"/>
      <c r="B251" s="70"/>
      <c r="C251" s="10" t="s">
        <v>60</v>
      </c>
      <c r="D251" s="22">
        <f>SUM(E251:I251)</f>
        <v>7789.2055470000005</v>
      </c>
      <c r="E251" s="22">
        <f>1415.01</f>
        <v>1415.01</v>
      </c>
      <c r="F251" s="22">
        <f>E251*1.07</f>
        <v>1514.0607</v>
      </c>
      <c r="G251" s="22">
        <f>F251*1.07</f>
        <v>1620.044949</v>
      </c>
      <c r="H251" s="22">
        <f>G251</f>
        <v>1620.044949</v>
      </c>
      <c r="I251" s="22">
        <f>H251</f>
        <v>1620.044949</v>
      </c>
    </row>
    <row r="252" spans="1:9" ht="15">
      <c r="A252" s="67"/>
      <c r="B252" s="70"/>
      <c r="C252" s="10" t="s">
        <v>65</v>
      </c>
      <c r="D252" s="22">
        <f>SUM(E252:I252)</f>
        <v>4355.31864</v>
      </c>
      <c r="E252" s="22">
        <f>791.2</f>
        <v>791.2</v>
      </c>
      <c r="F252" s="22">
        <f>E252*1.07</f>
        <v>846.5840000000001</v>
      </c>
      <c r="G252" s="22">
        <f>F252*1.07</f>
        <v>905.8448800000001</v>
      </c>
      <c r="H252" s="22">
        <f>G252</f>
        <v>905.8448800000001</v>
      </c>
      <c r="I252" s="22">
        <f>H252</f>
        <v>905.8448800000001</v>
      </c>
    </row>
    <row r="253" spans="1:9" ht="25.5">
      <c r="A253" s="67"/>
      <c r="B253" s="70"/>
      <c r="C253" s="10" t="s">
        <v>62</v>
      </c>
      <c r="D253" s="22">
        <f>SUM(E253:I253)</f>
        <v>0</v>
      </c>
      <c r="E253" s="22"/>
      <c r="F253" s="22"/>
      <c r="G253" s="22"/>
      <c r="H253" s="22"/>
      <c r="I253" s="22"/>
    </row>
    <row r="254" spans="1:9" ht="15">
      <c r="A254" s="68"/>
      <c r="B254" s="71"/>
      <c r="C254" s="10" t="s">
        <v>63</v>
      </c>
      <c r="D254" s="22">
        <f>SUM(E254:I254)</f>
        <v>0</v>
      </c>
      <c r="E254" s="22"/>
      <c r="F254" s="22"/>
      <c r="G254" s="22"/>
      <c r="H254" s="22"/>
      <c r="I254" s="22"/>
    </row>
    <row r="255" spans="1:9" ht="23.25" customHeight="1">
      <c r="A255" s="66"/>
      <c r="B255" s="69" t="s">
        <v>35</v>
      </c>
      <c r="C255" s="10" t="s">
        <v>58</v>
      </c>
      <c r="D255" s="22">
        <f>D256+D257+D258+D259+D260</f>
        <v>0</v>
      </c>
      <c r="E255" s="22">
        <f>E256+E257+E258+E259+E260</f>
        <v>0</v>
      </c>
      <c r="F255" s="22">
        <f>F256+F257+F258+F259+F260</f>
        <v>0</v>
      </c>
      <c r="G255" s="22">
        <f>G256+G257+G258+G259+G260</f>
        <v>0</v>
      </c>
      <c r="H255" s="22">
        <f>H256+H257+H258+H259+H260</f>
        <v>0</v>
      </c>
      <c r="I255" s="22">
        <f>I256+I257+I258+I259+I260</f>
        <v>0</v>
      </c>
    </row>
    <row r="256" spans="1:9" ht="15">
      <c r="A256" s="67"/>
      <c r="B256" s="70"/>
      <c r="C256" s="19" t="s">
        <v>59</v>
      </c>
      <c r="D256" s="22">
        <f>SUM(E256:I256)</f>
        <v>0</v>
      </c>
      <c r="E256" s="22"/>
      <c r="F256" s="22"/>
      <c r="G256" s="22"/>
      <c r="H256" s="22"/>
      <c r="I256" s="22"/>
    </row>
    <row r="257" spans="1:9" ht="15">
      <c r="A257" s="67"/>
      <c r="B257" s="70"/>
      <c r="C257" s="10" t="s">
        <v>60</v>
      </c>
      <c r="D257" s="22">
        <f>SUM(E257:I257)</f>
        <v>0</v>
      </c>
      <c r="E257" s="22"/>
      <c r="F257" s="22"/>
      <c r="G257" s="22"/>
      <c r="H257" s="22"/>
      <c r="I257" s="22"/>
    </row>
    <row r="258" spans="1:9" ht="15">
      <c r="A258" s="67"/>
      <c r="B258" s="70"/>
      <c r="C258" s="10" t="s">
        <v>65</v>
      </c>
      <c r="D258" s="22">
        <f>SUM(E258:I258)</f>
        <v>0</v>
      </c>
      <c r="E258" s="22"/>
      <c r="F258" s="22"/>
      <c r="G258" s="22"/>
      <c r="H258" s="22"/>
      <c r="I258" s="22"/>
    </row>
    <row r="259" spans="1:9" ht="25.5">
      <c r="A259" s="67"/>
      <c r="B259" s="70"/>
      <c r="C259" s="10" t="s">
        <v>62</v>
      </c>
      <c r="D259" s="22">
        <f>SUM(E259:I259)</f>
        <v>0</v>
      </c>
      <c r="E259" s="22"/>
      <c r="F259" s="22"/>
      <c r="G259" s="22"/>
      <c r="H259" s="22"/>
      <c r="I259" s="22"/>
    </row>
    <row r="260" spans="1:9" ht="15">
      <c r="A260" s="68"/>
      <c r="B260" s="71"/>
      <c r="C260" s="10" t="s">
        <v>63</v>
      </c>
      <c r="D260" s="22">
        <f>SUM(E260:I260)</f>
        <v>0</v>
      </c>
      <c r="E260" s="22"/>
      <c r="F260" s="22"/>
      <c r="G260" s="22"/>
      <c r="H260" s="22"/>
      <c r="I260" s="22"/>
    </row>
  </sheetData>
  <sheetProtection/>
  <mergeCells count="91">
    <mergeCell ref="A105:A110"/>
    <mergeCell ref="B105:B110"/>
    <mergeCell ref="B225:B230"/>
    <mergeCell ref="A225:A230"/>
    <mergeCell ref="B231:B236"/>
    <mergeCell ref="A231:A236"/>
    <mergeCell ref="A111:A116"/>
    <mergeCell ref="A117:A122"/>
    <mergeCell ref="A123:A128"/>
    <mergeCell ref="A129:A134"/>
    <mergeCell ref="A135:A140"/>
    <mergeCell ref="A141:A146"/>
    <mergeCell ref="A147:A152"/>
    <mergeCell ref="A153:A158"/>
    <mergeCell ref="A159:A164"/>
    <mergeCell ref="A165:A170"/>
    <mergeCell ref="B237:B242"/>
    <mergeCell ref="A237:A242"/>
    <mergeCell ref="B9:B14"/>
    <mergeCell ref="A9:A14"/>
    <mergeCell ref="B15:B20"/>
    <mergeCell ref="B147:B152"/>
    <mergeCell ref="B141:B146"/>
    <mergeCell ref="B135:B140"/>
    <mergeCell ref="B129:B134"/>
    <mergeCell ref="B123:B128"/>
    <mergeCell ref="B81:B86"/>
    <mergeCell ref="B75:B80"/>
    <mergeCell ref="B117:B122"/>
    <mergeCell ref="B111:B116"/>
    <mergeCell ref="B63:B68"/>
    <mergeCell ref="B69:B74"/>
    <mergeCell ref="D2:I2"/>
    <mergeCell ref="A6:A7"/>
    <mergeCell ref="B6:B7"/>
    <mergeCell ref="C6:C7"/>
    <mergeCell ref="D6:I6"/>
    <mergeCell ref="D3:I3"/>
    <mergeCell ref="F1:H1"/>
    <mergeCell ref="B255:B260"/>
    <mergeCell ref="B249:B254"/>
    <mergeCell ref="B243:B248"/>
    <mergeCell ref="B219:B224"/>
    <mergeCell ref="B213:B218"/>
    <mergeCell ref="B207:B212"/>
    <mergeCell ref="B201:B206"/>
    <mergeCell ref="B195:B200"/>
    <mergeCell ref="B189:B194"/>
    <mergeCell ref="B183:B188"/>
    <mergeCell ref="B177:B182"/>
    <mergeCell ref="B171:B176"/>
    <mergeCell ref="B165:B170"/>
    <mergeCell ref="B159:B164"/>
    <mergeCell ref="B153:B158"/>
    <mergeCell ref="B99:B104"/>
    <mergeCell ref="B93:B98"/>
    <mergeCell ref="B87:B92"/>
    <mergeCell ref="B39:B44"/>
    <mergeCell ref="B33:B38"/>
    <mergeCell ref="B45:B50"/>
    <mergeCell ref="B51:B56"/>
    <mergeCell ref="B57:B62"/>
    <mergeCell ref="B27:B32"/>
    <mergeCell ref="B21:B26"/>
    <mergeCell ref="A15:A20"/>
    <mergeCell ref="A21:A26"/>
    <mergeCell ref="A27:A32"/>
    <mergeCell ref="A33:A38"/>
    <mergeCell ref="A39:A44"/>
    <mergeCell ref="A87:A92"/>
    <mergeCell ref="A93:A98"/>
    <mergeCell ref="A99:A104"/>
    <mergeCell ref="A45:A50"/>
    <mergeCell ref="A51:A56"/>
    <mergeCell ref="A57:A62"/>
    <mergeCell ref="A63:A68"/>
    <mergeCell ref="A69:A74"/>
    <mergeCell ref="A75:A80"/>
    <mergeCell ref="A81:A86"/>
    <mergeCell ref="A171:A176"/>
    <mergeCell ref="A177:A182"/>
    <mergeCell ref="A183:A188"/>
    <mergeCell ref="A189:A194"/>
    <mergeCell ref="A195:A200"/>
    <mergeCell ref="A249:A254"/>
    <mergeCell ref="A255:A260"/>
    <mergeCell ref="A201:A206"/>
    <mergeCell ref="A207:A212"/>
    <mergeCell ref="A213:A218"/>
    <mergeCell ref="A219:A224"/>
    <mergeCell ref="A243:A248"/>
  </mergeCells>
  <printOptions/>
  <pageMargins left="0.7086614173228347" right="0.7086614173228347" top="0.7480314960629921" bottom="0.7480314960629921" header="0.31496062992125984" footer="0.31496062992125984"/>
  <pageSetup fitToHeight="5" fitToWidth="1" horizontalDpi="180" verticalDpi="18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42">
      <selection activeCell="C29" sqref="C29:G29"/>
    </sheetView>
  </sheetViews>
  <sheetFormatPr defaultColWidth="9.140625" defaultRowHeight="15"/>
  <cols>
    <col min="1" max="1" width="4.57421875" style="0" customWidth="1"/>
    <col min="2" max="2" width="44.00390625" style="0" customWidth="1"/>
    <col min="3" max="3" width="13.421875" style="0" customWidth="1"/>
    <col min="4" max="4" width="12.7109375" style="0" customWidth="1"/>
    <col min="5" max="5" width="12.140625" style="0" customWidth="1"/>
    <col min="6" max="6" width="12.7109375" style="0" customWidth="1"/>
    <col min="7" max="7" width="14.140625" style="0" customWidth="1"/>
  </cols>
  <sheetData>
    <row r="1" spans="3:7" ht="15">
      <c r="C1" s="21"/>
      <c r="D1" s="8"/>
      <c r="E1" s="8"/>
      <c r="F1" s="8"/>
      <c r="G1" s="8"/>
    </row>
    <row r="2" spans="3:7" ht="15">
      <c r="C2" s="8"/>
      <c r="D2" s="8"/>
      <c r="E2" s="8"/>
      <c r="F2" s="8"/>
      <c r="G2" s="8"/>
    </row>
    <row r="3" spans="3:7" ht="15">
      <c r="C3" s="8"/>
      <c r="D3" s="8"/>
      <c r="E3" s="41" t="s">
        <v>72</v>
      </c>
      <c r="F3" s="41"/>
      <c r="G3" s="8"/>
    </row>
    <row r="4" spans="3:7" ht="15">
      <c r="C4" s="54" t="s">
        <v>1</v>
      </c>
      <c r="D4" s="54"/>
      <c r="E4" s="54"/>
      <c r="F4" s="54"/>
      <c r="G4" s="54"/>
    </row>
    <row r="5" spans="3:7" ht="15">
      <c r="C5" s="54" t="s">
        <v>73</v>
      </c>
      <c r="D5" s="54"/>
      <c r="E5" s="54"/>
      <c r="F5" s="54"/>
      <c r="G5" s="54"/>
    </row>
    <row r="6" spans="3:7" ht="15">
      <c r="C6" s="8"/>
      <c r="D6" s="20"/>
      <c r="E6" s="20"/>
      <c r="F6" s="20"/>
      <c r="G6" s="20"/>
    </row>
    <row r="7" spans="1:7" ht="16.5">
      <c r="A7" s="78" t="s">
        <v>71</v>
      </c>
      <c r="B7" s="78"/>
      <c r="C7" s="78"/>
      <c r="D7" s="78"/>
      <c r="E7" s="78"/>
      <c r="F7" s="78"/>
      <c r="G7" s="78"/>
    </row>
    <row r="9" spans="1:7" ht="22.5" customHeight="1">
      <c r="A9" s="64" t="s">
        <v>70</v>
      </c>
      <c r="B9" s="64" t="s">
        <v>39</v>
      </c>
      <c r="C9" s="58" t="s">
        <v>69</v>
      </c>
      <c r="D9" s="59"/>
      <c r="E9" s="59"/>
      <c r="F9" s="59"/>
      <c r="G9" s="60"/>
    </row>
    <row r="10" spans="1:14" ht="47.25" customHeight="1">
      <c r="A10" s="65"/>
      <c r="B10" s="65"/>
      <c r="C10" s="4" t="s">
        <v>47</v>
      </c>
      <c r="D10" s="4" t="s">
        <v>48</v>
      </c>
      <c r="E10" s="4" t="s">
        <v>49</v>
      </c>
      <c r="F10" s="4" t="s">
        <v>50</v>
      </c>
      <c r="G10" s="4" t="s">
        <v>51</v>
      </c>
      <c r="I10" s="8"/>
      <c r="J10" s="8"/>
      <c r="K10" s="8"/>
      <c r="L10" s="8"/>
      <c r="M10" s="8"/>
      <c r="N10" s="8"/>
    </row>
    <row r="11" spans="1:7" ht="1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</row>
    <row r="12" spans="1:7" ht="32.25" customHeight="1">
      <c r="A12" s="3"/>
      <c r="B12" s="13" t="s">
        <v>11</v>
      </c>
      <c r="C12" s="39">
        <f>SUM(C13:C22)</f>
        <v>0.9999723089107156</v>
      </c>
      <c r="D12" s="39">
        <f>SUM(D13:D22)</f>
        <v>0.9999725222440778</v>
      </c>
      <c r="E12" s="39">
        <f>SUM(E13:E22)</f>
        <v>0.9999725222440782</v>
      </c>
      <c r="F12" s="39">
        <f>SUM(F13:F22)</f>
        <v>0.9999725222440782</v>
      </c>
      <c r="G12" s="39">
        <f>SUM(G13:G22)</f>
        <v>0.9999725222440782</v>
      </c>
    </row>
    <row r="13" spans="1:7" ht="51" customHeight="1">
      <c r="A13" s="3"/>
      <c r="B13" s="23" t="s">
        <v>12</v>
      </c>
      <c r="C13" s="39">
        <f>'Прил 2'!I12/'Прил 2'!I11</f>
        <v>0.9289585104409253</v>
      </c>
      <c r="D13" s="39">
        <f>'Прил 2'!J12/'Прил 2'!J11</f>
        <v>0.9218017734657273</v>
      </c>
      <c r="E13" s="39">
        <f>'Прил 2'!K12/'Прил 2'!K11</f>
        <v>0.9218017734657277</v>
      </c>
      <c r="F13" s="39">
        <f>'Прил 2'!L12/'Прил 2'!L11</f>
        <v>0.9218017734657277</v>
      </c>
      <c r="G13" s="39">
        <f>'Прил 2'!M12/'Прил 2'!M11</f>
        <v>0.9218017734657277</v>
      </c>
    </row>
    <row r="14" spans="1:7" ht="40.5" customHeight="1">
      <c r="A14" s="3"/>
      <c r="B14" s="23" t="s">
        <v>75</v>
      </c>
      <c r="C14" s="39">
        <f>'Прил 2'!I13/'Прил 2'!I11</f>
        <v>0</v>
      </c>
      <c r="D14" s="39">
        <f>'Прил 2'!J13/'Прил 2'!J11</f>
        <v>0</v>
      </c>
      <c r="E14" s="39">
        <f>'Прил 2'!K13/'Прил 2'!K11</f>
        <v>0</v>
      </c>
      <c r="F14" s="39">
        <f>'Прил 2'!L13/'Прил 2'!L11</f>
        <v>0</v>
      </c>
      <c r="G14" s="39">
        <f>'Прил 2'!M13/'Прил 2'!M11</f>
        <v>0</v>
      </c>
    </row>
    <row r="15" spans="1:7" ht="73.5" customHeight="1">
      <c r="A15" s="3"/>
      <c r="B15" s="23" t="s">
        <v>13</v>
      </c>
      <c r="C15" s="39">
        <f>'Прил 2'!I14/'Прил 2'!I11</f>
        <v>0</v>
      </c>
      <c r="D15" s="39">
        <f>'Прил 2'!J14/'Прил 2'!J11</f>
        <v>0</v>
      </c>
      <c r="E15" s="39">
        <f>'Прил 2'!K14/'Прил 2'!K11</f>
        <v>0</v>
      </c>
      <c r="F15" s="39">
        <f>'Прил 2'!L14/'Прил 2'!L11</f>
        <v>0</v>
      </c>
      <c r="G15" s="39">
        <f>'Прил 2'!M14/'Прил 2'!M11</f>
        <v>0</v>
      </c>
    </row>
    <row r="16" spans="1:7" ht="48">
      <c r="A16" s="3"/>
      <c r="B16" s="24" t="s">
        <v>83</v>
      </c>
      <c r="C16" s="39">
        <f>'Прил 2'!I15/'Прил 2'!I11</f>
        <v>0.040772359862319904</v>
      </c>
      <c r="D16" s="39">
        <f>'Прил 2'!J15/'Прил 2'!J11</f>
        <v>0.040458247819518074</v>
      </c>
      <c r="E16" s="39">
        <f>'Прил 2'!K15/'Прил 2'!K11</f>
        <v>0.04045824781951809</v>
      </c>
      <c r="F16" s="39">
        <f>'Прил 2'!L15/'Прил 2'!L11</f>
        <v>0.04045824781951809</v>
      </c>
      <c r="G16" s="39">
        <f>'Прил 2'!M15/'Прил 2'!M11</f>
        <v>0.04045824781951809</v>
      </c>
    </row>
    <row r="17" spans="1:7" ht="24">
      <c r="A17" s="3"/>
      <c r="B17" s="25" t="s">
        <v>82</v>
      </c>
      <c r="C17" s="39">
        <f>'Прил 2'!I16/'Прил 2'!I11</f>
        <v>0.013845544642189591</v>
      </c>
      <c r="D17" s="39">
        <f>'Прил 2'!J16/'Прил 2'!J11</f>
        <v>0.01373887796098821</v>
      </c>
      <c r="E17" s="39">
        <f>'Прил 2'!K16/'Прил 2'!K11</f>
        <v>0.013738877960988214</v>
      </c>
      <c r="F17" s="39">
        <f>'Прил 2'!L16/'Прил 2'!L11</f>
        <v>0.013738877960988214</v>
      </c>
      <c r="G17" s="39">
        <f>'Прил 2'!M16/'Прил 2'!M11</f>
        <v>0.013738877960988214</v>
      </c>
    </row>
    <row r="18" spans="1:7" ht="15">
      <c r="A18" s="3"/>
      <c r="B18" s="25" t="s">
        <v>27</v>
      </c>
      <c r="C18" s="39">
        <f>'Прил 2'!I17/'Прил 2'!I11</f>
        <v>0.005538217856875837</v>
      </c>
      <c r="D18" s="39">
        <f>'Прил 2'!J17/'Прил 2'!J11</f>
        <v>0.005495551184395284</v>
      </c>
      <c r="E18" s="39">
        <f>'Прил 2'!K17/'Прил 2'!K11</f>
        <v>0.005495551184395286</v>
      </c>
      <c r="F18" s="39">
        <f>'Прил 2'!L17/'Прил 2'!L11</f>
        <v>0.005495551184395286</v>
      </c>
      <c r="G18" s="39">
        <f>'Прил 2'!M17/'Прил 2'!M11</f>
        <v>0.005495551184395286</v>
      </c>
    </row>
    <row r="19" spans="1:7" ht="24">
      <c r="A19" s="3"/>
      <c r="B19" s="23" t="s">
        <v>79</v>
      </c>
      <c r="C19" s="39">
        <f>'Прил 2'!I18/'Прил 2'!I11</f>
        <v>0.004904091912263554</v>
      </c>
      <c r="D19" s="39">
        <f>'Прил 2'!J18/'Прил 2'!J11</f>
        <v>0.012570354290224012</v>
      </c>
      <c r="E19" s="39">
        <f>'Прил 2'!K18/'Прил 2'!K11</f>
        <v>0.012570354290224014</v>
      </c>
      <c r="F19" s="39">
        <f>'Прил 2'!L18/'Прил 2'!L11</f>
        <v>0.012570354290224014</v>
      </c>
      <c r="G19" s="39">
        <f>'Прил 2'!M18/'Прил 2'!M11</f>
        <v>0.012570354290224014</v>
      </c>
    </row>
    <row r="20" spans="1:7" ht="24">
      <c r="A20" s="3"/>
      <c r="B20" s="26" t="s">
        <v>28</v>
      </c>
      <c r="C20" s="39">
        <f>'Прил 2'!I19/'Прил 2'!I11</f>
        <v>0.0027691089284379183</v>
      </c>
      <c r="D20" s="39">
        <f>'Прил 2'!J19/'Прил 2'!J11</f>
        <v>0.002747775592197642</v>
      </c>
      <c r="E20" s="39">
        <f>'Прил 2'!K19/'Прил 2'!K11</f>
        <v>0.002747775592197643</v>
      </c>
      <c r="F20" s="39">
        <f>'Прил 2'!L19/'Прил 2'!L11</f>
        <v>0.002747775592197643</v>
      </c>
      <c r="G20" s="39">
        <f>'Прил 2'!M19/'Прил 2'!M11</f>
        <v>0.002747775592197643</v>
      </c>
    </row>
    <row r="21" spans="1:7" ht="36" customHeight="1">
      <c r="A21" s="3"/>
      <c r="B21" s="25" t="s">
        <v>29</v>
      </c>
      <c r="C21" s="39">
        <f>'Прил 2'!I20/'Прил 2'!I11</f>
        <v>0.0027691089284379183</v>
      </c>
      <c r="D21" s="39">
        <f>'Прил 2'!J20/'Прил 2'!J11</f>
        <v>0.002747775592197642</v>
      </c>
      <c r="E21" s="39">
        <f>'Прил 2'!K20/'Прил 2'!K11</f>
        <v>0.002747775592197643</v>
      </c>
      <c r="F21" s="39">
        <f>'Прил 2'!L20/'Прил 2'!L11</f>
        <v>0.002747775592197643</v>
      </c>
      <c r="G21" s="39">
        <f>'Прил 2'!M20/'Прил 2'!M11</f>
        <v>0.002747775592197643</v>
      </c>
    </row>
    <row r="22" spans="1:7" ht="36.75">
      <c r="A22" s="3"/>
      <c r="B22" s="17" t="s">
        <v>30</v>
      </c>
      <c r="C22" s="39">
        <f>'Прил 2'!I21/'Прил 2'!I11</f>
        <v>0.0004153663392656877</v>
      </c>
      <c r="D22" s="39">
        <f>'Прил 2'!J21/'Прил 2'!J11</f>
        <v>0.0004121663388296463</v>
      </c>
      <c r="E22" s="39">
        <f>'Прил 2'!K21/'Прил 2'!K11</f>
        <v>0.0004121663388296464</v>
      </c>
      <c r="F22" s="39">
        <f>'Прил 2'!L21/'Прил 2'!L11</f>
        <v>0.0004121663388296464</v>
      </c>
      <c r="G22" s="39">
        <f>'Прил 2'!M21/'Прил 2'!M11</f>
        <v>0.0004121663388296464</v>
      </c>
    </row>
    <row r="23" spans="1:7" ht="36.75">
      <c r="A23" s="3"/>
      <c r="B23" s="17" t="s">
        <v>34</v>
      </c>
      <c r="C23" s="3"/>
      <c r="D23" s="3"/>
      <c r="E23" s="3"/>
      <c r="F23" s="3"/>
      <c r="G23" s="3"/>
    </row>
    <row r="24" spans="1:7" ht="28.5">
      <c r="A24" s="3"/>
      <c r="B24" s="13" t="s">
        <v>74</v>
      </c>
      <c r="C24" s="39">
        <f>SUM(C25:C46)</f>
        <v>1</v>
      </c>
      <c r="D24" s="39">
        <f>SUM(D25:D46)</f>
        <v>1.0000000000000002</v>
      </c>
      <c r="E24" s="39">
        <f>SUM(E25:E46)</f>
        <v>0.9999999999999998</v>
      </c>
      <c r="F24" s="39">
        <f>SUM(F25:F46)</f>
        <v>0.9999999999999998</v>
      </c>
      <c r="G24" s="39">
        <f>SUM(G25:G46)</f>
        <v>0.9999999999999998</v>
      </c>
    </row>
    <row r="25" spans="1:7" ht="48">
      <c r="A25" s="3"/>
      <c r="B25" s="23" t="s">
        <v>14</v>
      </c>
      <c r="C25" s="39">
        <f>'Прил 2'!I24/'Прил 2'!I23</f>
        <v>0.19889427892602368</v>
      </c>
      <c r="D25" s="39">
        <f>'Прил 2'!J24/'Прил 2'!J23</f>
        <v>0.3197929152845351</v>
      </c>
      <c r="E25" s="39">
        <f>'Прил 2'!K24/'Прил 2'!K23</f>
        <v>0.32590821240224616</v>
      </c>
      <c r="F25" s="39">
        <f>'Прил 2'!L24/'Прил 2'!L23</f>
        <v>0.36336396019170025</v>
      </c>
      <c r="G25" s="39">
        <f>'Прил 2'!M24/'Прил 2'!M23</f>
        <v>0.36336396019170025</v>
      </c>
    </row>
    <row r="26" spans="1:7" ht="36">
      <c r="A26" s="3"/>
      <c r="B26" s="23" t="s">
        <v>76</v>
      </c>
      <c r="C26" s="39">
        <f>'Прил 2'!I25/'Прил 2'!I23</f>
        <v>0.5880778638962182</v>
      </c>
      <c r="D26" s="39">
        <f>'Прил 2'!J25/'Прил 2'!J23</f>
        <v>0.4522186564056128</v>
      </c>
      <c r="E26" s="39">
        <f>'Прил 2'!K25/'Прил 2'!K23</f>
        <v>0.46086628840093663</v>
      </c>
      <c r="F26" s="39">
        <f>'Прил 2'!L25/'Прил 2'!L23</f>
        <v>0.5138324021903673</v>
      </c>
      <c r="G26" s="39">
        <f>'Прил 2'!M25/'Прил 2'!M23</f>
        <v>0.5138324021903673</v>
      </c>
    </row>
    <row r="27" spans="1:7" ht="48">
      <c r="A27" s="3"/>
      <c r="B27" s="36" t="s">
        <v>89</v>
      </c>
      <c r="C27" s="39">
        <f>'Прил 2'!I26/'Прил 2'!I23</f>
        <v>0.004070012459689241</v>
      </c>
      <c r="D27" s="39">
        <f>'Прил 2'!J26/'Прил 2'!J23</f>
        <v>0.003129748081113937</v>
      </c>
      <c r="E27" s="39">
        <f>'Прил 2'!K26/'Прил 2'!K23</f>
        <v>0.003189597247573953</v>
      </c>
      <c r="F27" s="39">
        <f>'Прил 2'!L26/'Прил 2'!L23</f>
        <v>0.0035561690168904466</v>
      </c>
      <c r="G27" s="39">
        <f>'Прил 2'!M26/'Прил 2'!M23</f>
        <v>0.0035561690168904466</v>
      </c>
    </row>
    <row r="28" spans="1:7" ht="15">
      <c r="A28" s="3"/>
      <c r="B28" s="19" t="s">
        <v>54</v>
      </c>
      <c r="C28" s="39">
        <f>'Прил 2'!I27/'Прил 2'!I23</f>
        <v>0</v>
      </c>
      <c r="D28" s="39">
        <f>'Прил 2'!J27/'Прил 2'!J23</f>
        <v>0</v>
      </c>
      <c r="E28" s="39">
        <f>'Прил 2'!K27/'Прил 2'!K23</f>
        <v>0</v>
      </c>
      <c r="F28" s="39">
        <f>'Прил 2'!L27/'Прил 2'!L23</f>
        <v>0</v>
      </c>
      <c r="G28" s="39">
        <f>'Прил 2'!M27/'Прил 2'!M23</f>
        <v>0</v>
      </c>
    </row>
    <row r="29" spans="1:7" ht="72" customHeight="1">
      <c r="A29" s="3"/>
      <c r="B29" s="23" t="s">
        <v>16</v>
      </c>
      <c r="C29" s="39">
        <f>'Прил 2'!I28/'Прил 2'!I23</f>
        <v>0</v>
      </c>
      <c r="D29" s="39">
        <f>'Прил 2'!J28/'Прил 2'!J23</f>
        <v>0</v>
      </c>
      <c r="E29" s="39">
        <f>'Прил 2'!K28/'Прил 2'!K23</f>
        <v>0</v>
      </c>
      <c r="F29" s="39">
        <f>'Прил 2'!L28/'Прил 2'!L23</f>
        <v>0</v>
      </c>
      <c r="G29" s="39">
        <f>'Прил 2'!M28/'Прил 2'!M23</f>
        <v>0</v>
      </c>
    </row>
    <row r="30" spans="1:7" ht="24">
      <c r="A30" s="3"/>
      <c r="B30" s="23" t="s">
        <v>20</v>
      </c>
      <c r="C30" s="39">
        <f>'Прил 2'!I29/'Прил 2'!I23</f>
        <v>0</v>
      </c>
      <c r="D30" s="39">
        <f>'Прил 2'!J29/'Прил 2'!J23</f>
        <v>0.0960185117545478</v>
      </c>
      <c r="E30" s="39">
        <f>'Прил 2'!K29/'Прил 2'!K23</f>
        <v>0.0978546428885257</v>
      </c>
      <c r="F30" s="39">
        <f>'Прил 2'!L29/'Прил 2'!L23</f>
        <v>0</v>
      </c>
      <c r="G30" s="39">
        <f>'Прил 2'!M29/'Прил 2'!M23</f>
        <v>0</v>
      </c>
    </row>
    <row r="31" spans="1:7" ht="24">
      <c r="A31" s="3"/>
      <c r="B31" s="23" t="s">
        <v>21</v>
      </c>
      <c r="C31" s="39">
        <f>'Прил 2'!I30/'Прил 2'!I23</f>
        <v>0.026721147268640673</v>
      </c>
      <c r="D31" s="39">
        <f>'Прил 2'!J30/'Прил 2'!J23</f>
        <v>0</v>
      </c>
      <c r="E31" s="39">
        <f>'Прил 2'!K30/'Прил 2'!K23</f>
        <v>0</v>
      </c>
      <c r="F31" s="39">
        <f>'Прил 2'!L30/'Прил 2'!L23</f>
        <v>0</v>
      </c>
      <c r="G31" s="39">
        <f>'Прил 2'!M30/'Прил 2'!M23</f>
        <v>0</v>
      </c>
    </row>
    <row r="32" spans="1:7" ht="15">
      <c r="A32" s="3"/>
      <c r="B32" s="23" t="s">
        <v>23</v>
      </c>
      <c r="C32" s="39">
        <f>'Прил 2'!I31/'Прил 2'!I23</f>
        <v>0.03817306752662954</v>
      </c>
      <c r="D32" s="39">
        <f>'Прил 2'!J31/'Прил 2'!J23</f>
        <v>0</v>
      </c>
      <c r="E32" s="39">
        <f>'Прил 2'!K31/'Прил 2'!K23</f>
        <v>0</v>
      </c>
      <c r="F32" s="39">
        <f>'Прил 2'!L31/'Прил 2'!L23</f>
        <v>0</v>
      </c>
      <c r="G32" s="39">
        <f>'Прил 2'!M31/'Прил 2'!M23</f>
        <v>0</v>
      </c>
    </row>
    <row r="33" spans="1:7" ht="24">
      <c r="A33" s="3"/>
      <c r="B33" s="23" t="s">
        <v>22</v>
      </c>
      <c r="C33" s="39">
        <f>'Прил 2'!I32/'Прил 2'!I23</f>
        <v>0.0038173067526629536</v>
      </c>
      <c r="D33" s="39">
        <f>'Прил 2'!J32/'Прил 2'!J23</f>
        <v>0</v>
      </c>
      <c r="E33" s="39">
        <f>'Прил 2'!K32/'Прил 2'!K23</f>
        <v>0</v>
      </c>
      <c r="F33" s="39">
        <f>'Прил 2'!L32/'Прил 2'!L23</f>
        <v>0</v>
      </c>
      <c r="G33" s="39">
        <f>'Прил 2'!M32/'Прил 2'!M23</f>
        <v>0</v>
      </c>
    </row>
    <row r="34" spans="1:7" ht="15">
      <c r="A34" s="3"/>
      <c r="B34" s="23" t="s">
        <v>24</v>
      </c>
      <c r="C34" s="39">
        <f>'Прил 2'!I33/'Прил 2'!I23</f>
        <v>0</v>
      </c>
      <c r="D34" s="39">
        <f>'Прил 2'!J33/'Прил 2'!J23</f>
        <v>0.006035449310285862</v>
      </c>
      <c r="E34" s="39">
        <f>'Прил 2'!K33/'Прил 2'!K23</f>
        <v>0</v>
      </c>
      <c r="F34" s="39">
        <f>'Прил 2'!L33/'Прил 2'!L23</f>
        <v>0</v>
      </c>
      <c r="G34" s="39">
        <f>'Прил 2'!M33/'Прил 2'!M23</f>
        <v>0</v>
      </c>
    </row>
    <row r="35" spans="1:7" ht="15">
      <c r="A35" s="3"/>
      <c r="B35" s="23" t="s">
        <v>25</v>
      </c>
      <c r="C35" s="39">
        <f>'Прил 2'!I34/'Прил 2'!I23</f>
        <v>0</v>
      </c>
      <c r="D35" s="39">
        <f>'Прил 2'!J34/'Прил 2'!J23</f>
        <v>0.013716930250649685</v>
      </c>
      <c r="E35" s="39">
        <f>'Прил 2'!K34/'Прил 2'!K23</f>
        <v>0</v>
      </c>
      <c r="F35" s="39">
        <f>'Прил 2'!L34/'Прил 2'!L23</f>
        <v>0</v>
      </c>
      <c r="G35" s="39">
        <f>'Прил 2'!M34/'Прил 2'!M23</f>
        <v>0</v>
      </c>
    </row>
    <row r="36" spans="1:7" ht="15">
      <c r="A36" s="3"/>
      <c r="B36" s="23" t="s">
        <v>26</v>
      </c>
      <c r="C36" s="39">
        <f>'Прил 2'!I35/'Прил 2'!I23</f>
        <v>0</v>
      </c>
      <c r="D36" s="39">
        <f>'Прил 2'!J35/'Прил 2'!J23</f>
        <v>0</v>
      </c>
      <c r="E36" s="39">
        <f>'Прил 2'!K35/'Прил 2'!K23</f>
        <v>0.005225882130228342</v>
      </c>
      <c r="F36" s="39">
        <f>'Прил 2'!L35/'Прил 2'!L23</f>
        <v>0</v>
      </c>
      <c r="G36" s="39">
        <f>'Прил 2'!M35/'Прил 2'!M23</f>
        <v>0</v>
      </c>
    </row>
    <row r="37" spans="1:7" ht="24">
      <c r="A37" s="3"/>
      <c r="B37" s="23" t="s">
        <v>78</v>
      </c>
      <c r="C37" s="39">
        <f>'Прил 2'!I36/'Прил 2'!I23</f>
        <v>0.015650957685918107</v>
      </c>
      <c r="D37" s="39">
        <f>'Прил 2'!J36/'Прил 2'!J23</f>
        <v>0.012035234601920035</v>
      </c>
      <c r="E37" s="39">
        <f>'Прил 2'!K36/'Прил 2'!K23</f>
        <v>0.01226538052434178</v>
      </c>
      <c r="F37" s="39">
        <f>'Прил 2'!L36/'Прил 2'!L23</f>
        <v>0.01367500747444272</v>
      </c>
      <c r="G37" s="39">
        <f>'Прил 2'!M36/'Прил 2'!M23</f>
        <v>0.01367500747444272</v>
      </c>
    </row>
    <row r="38" spans="1:7" ht="15">
      <c r="A38" s="3"/>
      <c r="B38" s="23" t="s">
        <v>27</v>
      </c>
      <c r="C38" s="39">
        <f>'Прил 2'!I37/'Прил 2'!I23</f>
        <v>0.0061076908042607255</v>
      </c>
      <c r="D38" s="39">
        <f>'Прил 2'!J37/'Прил 2'!J23</f>
        <v>0.0021947088401039496</v>
      </c>
      <c r="E38" s="39">
        <f>'Прил 2'!K37/'Прил 2'!K23</f>
        <v>0.0022366775517377304</v>
      </c>
      <c r="F38" s="39">
        <f>'Прил 2'!L37/'Прил 2'!L23</f>
        <v>0.002493732842387549</v>
      </c>
      <c r="G38" s="39">
        <f>'Прил 2'!M37/'Прил 2'!M23</f>
        <v>0.002493732842387549</v>
      </c>
    </row>
    <row r="39" spans="1:7" ht="24">
      <c r="A39" s="3"/>
      <c r="B39" s="23" t="s">
        <v>79</v>
      </c>
      <c r="C39" s="39">
        <f>'Прил 2'!I38/'Прил 2'!I23</f>
        <v>0.10391396095964038</v>
      </c>
      <c r="D39" s="39">
        <f>'Прил 2'!J38/'Прил 2'!J23</f>
        <v>0.08484559471622091</v>
      </c>
      <c r="E39" s="39">
        <f>'Прил 2'!K38/'Прил 2'!K23</f>
        <v>0.08646806974934332</v>
      </c>
      <c r="F39" s="39">
        <f>'Прил 2'!L38/'Прил 2'!L23</f>
        <v>0.09640561071678291</v>
      </c>
      <c r="G39" s="39">
        <f>'Прил 2'!M38/'Прил 2'!M23</f>
        <v>0.09640561071678291</v>
      </c>
    </row>
    <row r="40" spans="1:7" ht="26.25" customHeight="1">
      <c r="A40" s="3"/>
      <c r="B40" s="23" t="s">
        <v>28</v>
      </c>
      <c r="C40" s="39">
        <f>'Прил 2'!I39/'Прил 2'!I23</f>
        <v>0.003435576077396658</v>
      </c>
      <c r="D40" s="39">
        <f>'Прил 2'!J39/'Прил 2'!J23</f>
        <v>0</v>
      </c>
      <c r="E40" s="39">
        <f>'Прил 2'!K39/'Прил 2'!K23</f>
        <v>0</v>
      </c>
      <c r="F40" s="39">
        <f>'Прил 2'!L39/'Прил 2'!L23</f>
        <v>0</v>
      </c>
      <c r="G40" s="39">
        <f>'Прил 2'!M39/'Прил 2'!M23</f>
        <v>0</v>
      </c>
    </row>
    <row r="41" spans="1:7" ht="36">
      <c r="A41" s="3"/>
      <c r="B41" s="23" t="s">
        <v>29</v>
      </c>
      <c r="C41" s="39">
        <f>'Прил 2'!I40/'Прил 2'!I23</f>
        <v>0.003435576077396658</v>
      </c>
      <c r="D41" s="39">
        <f>'Прил 2'!J40/'Прил 2'!J23</f>
        <v>0</v>
      </c>
      <c r="E41" s="39">
        <f>'Прил 2'!K40/'Прил 2'!K23</f>
        <v>0</v>
      </c>
      <c r="F41" s="39">
        <f>'Прил 2'!L40/'Прил 2'!L23</f>
        <v>0</v>
      </c>
      <c r="G41" s="39">
        <f>'Прил 2'!M40/'Прил 2'!M23</f>
        <v>0</v>
      </c>
    </row>
    <row r="42" spans="1:7" ht="36">
      <c r="A42" s="3"/>
      <c r="B42" s="23" t="s">
        <v>30</v>
      </c>
      <c r="C42" s="39">
        <f>'Прил 2'!I41/'Прил 2'!I23</f>
        <v>0.0005153364116094987</v>
      </c>
      <c r="D42" s="39">
        <f>'Прил 2'!J41/'Прил 2'!J23</f>
        <v>0.0003703571167675415</v>
      </c>
      <c r="E42" s="39">
        <f>'Прил 2'!K41/'Прил 2'!K23</f>
        <v>0.00035274704379041307</v>
      </c>
      <c r="F42" s="39">
        <f>'Прил 2'!L41/'Прил 2'!L23</f>
        <v>0.00039328730575037275</v>
      </c>
      <c r="G42" s="39">
        <f>'Прил 2'!M41/'Прил 2'!M23</f>
        <v>0.00039328730575037275</v>
      </c>
    </row>
    <row r="43" spans="1:7" ht="15">
      <c r="A43" s="3"/>
      <c r="B43" s="23" t="s">
        <v>31</v>
      </c>
      <c r="C43" s="39">
        <f>'Прил 2'!I42/'Прил 2'!I23</f>
        <v>0</v>
      </c>
      <c r="D43" s="39">
        <f>'Прил 2'!J42/'Прил 2'!J23</f>
        <v>0.004115079075194906</v>
      </c>
      <c r="E43" s="39">
        <f>'Прил 2'!K42/'Прил 2'!K23</f>
        <v>0</v>
      </c>
      <c r="F43" s="39">
        <f>'Прил 2'!L42/'Прил 2'!L23</f>
        <v>0</v>
      </c>
      <c r="G43" s="39">
        <f>'Прил 2'!M42/'Прил 2'!M23</f>
        <v>0</v>
      </c>
    </row>
    <row r="44" spans="1:7" ht="48">
      <c r="A44" s="3"/>
      <c r="B44" s="23" t="s">
        <v>32</v>
      </c>
      <c r="C44" s="39">
        <f>'Прил 2'!I43/'Прил 2'!I23</f>
        <v>0.000572596012899443</v>
      </c>
      <c r="D44" s="39">
        <f>'Прил 2'!J43/'Прил 2'!J23</f>
        <v>0.00044031346104585493</v>
      </c>
      <c r="E44" s="39">
        <f>'Прил 2'!K43/'Прил 2'!K23</f>
        <v>0.0004487334338173822</v>
      </c>
      <c r="F44" s="39">
        <f>'Прил 2'!L43/'Прил 2'!L23</f>
        <v>0.000500305151504002</v>
      </c>
      <c r="G44" s="39">
        <f>'Прил 2'!M43/'Прил 2'!M23</f>
        <v>0.000500305151504002</v>
      </c>
    </row>
    <row r="45" spans="1:7" ht="24">
      <c r="A45" s="3"/>
      <c r="B45" s="23" t="s">
        <v>33</v>
      </c>
      <c r="C45" s="39">
        <f>'Прил 2'!I44/'Прил 2'!I23</f>
        <v>0.006580273380240399</v>
      </c>
      <c r="D45" s="39">
        <f>'Прил 2'!J44/'Прил 2'!J23</f>
        <v>0.005060082294338965</v>
      </c>
      <c r="E45" s="39">
        <f>'Прил 2'!K44/'Прил 2'!K23</f>
        <v>0.005156844621429357</v>
      </c>
      <c r="F45" s="39">
        <f>'Прил 2'!L44/'Прил 2'!L23</f>
        <v>0.005749506801083991</v>
      </c>
      <c r="G45" s="39">
        <f>'Прил 2'!M44/'Прил 2'!M23</f>
        <v>0.005749506801083991</v>
      </c>
    </row>
    <row r="46" spans="1:7" ht="36">
      <c r="A46" s="3"/>
      <c r="B46" s="23" t="s">
        <v>34</v>
      </c>
      <c r="C46" s="39">
        <f>'Прил 2'!I45/'Прил 2'!I23</f>
        <v>3.435576077396658E-05</v>
      </c>
      <c r="D46" s="39">
        <f>'Прил 2'!J45/'Прил 2'!J23</f>
        <v>2.6418807662751298E-05</v>
      </c>
      <c r="E46" s="39">
        <f>'Прил 2'!K45/'Прил 2'!K23</f>
        <v>2.6924006029042935E-05</v>
      </c>
      <c r="F46" s="39">
        <f>'Прил 2'!L45/'Прил 2'!L23</f>
        <v>3.0018309090240124E-05</v>
      </c>
      <c r="G46" s="39">
        <f>'Прил 2'!M45/'Прил 2'!M23</f>
        <v>3.0018309090240124E-05</v>
      </c>
    </row>
    <row r="47" spans="1:7" ht="28.5">
      <c r="A47" s="3"/>
      <c r="B47" s="13" t="s">
        <v>17</v>
      </c>
      <c r="C47" s="39">
        <f>SUM(C48:C49)</f>
        <v>1</v>
      </c>
      <c r="D47" s="39">
        <f>SUM(D48:D49)</f>
        <v>1</v>
      </c>
      <c r="E47" s="39">
        <f>SUM(E48:E49)</f>
        <v>1</v>
      </c>
      <c r="F47" s="39">
        <f>SUM(F48:F49)</f>
        <v>1</v>
      </c>
      <c r="G47" s="39">
        <f>SUM(G48:G49)</f>
        <v>1</v>
      </c>
    </row>
    <row r="48" spans="1:7" ht="48">
      <c r="A48" s="3"/>
      <c r="B48" s="23" t="s">
        <v>18</v>
      </c>
      <c r="C48" s="39">
        <f>'Прил 2'!I47/'Прил 2'!I46</f>
        <v>1</v>
      </c>
      <c r="D48" s="39">
        <f>'Прил 2'!J47/'Прил 2'!J46</f>
        <v>1</v>
      </c>
      <c r="E48" s="39">
        <f>'Прил 2'!K47/'Прил 2'!K46</f>
        <v>1</v>
      </c>
      <c r="F48" s="39">
        <f>'Прил 2'!L47/'Прил 2'!L46</f>
        <v>1</v>
      </c>
      <c r="G48" s="39">
        <f>'Прил 2'!M47/'Прил 2'!M46</f>
        <v>1</v>
      </c>
    </row>
    <row r="49" spans="1:7" ht="15">
      <c r="A49" s="3"/>
      <c r="B49" s="23" t="s">
        <v>19</v>
      </c>
      <c r="C49" s="39">
        <f>'Прил 2'!I48/'Прил 2'!I23</f>
        <v>0</v>
      </c>
      <c r="D49" s="39">
        <f>'Прил 2'!J48/'Прил 2'!J23</f>
        <v>0</v>
      </c>
      <c r="E49" s="39">
        <f>'Прил 2'!K48/'Прил 2'!K23</f>
        <v>0</v>
      </c>
      <c r="F49" s="39">
        <f>'Прил 2'!L48/'Прил 2'!L23</f>
        <v>0</v>
      </c>
      <c r="G49" s="39">
        <f>'Прил 2'!M48/'Прил 2'!M23</f>
        <v>0</v>
      </c>
    </row>
    <row r="50" spans="1:7" ht="42.75">
      <c r="A50" s="3"/>
      <c r="B50" s="13" t="s">
        <v>81</v>
      </c>
      <c r="C50" s="39">
        <f>SUM(C51:C52)</f>
        <v>1</v>
      </c>
      <c r="D50" s="39">
        <f>SUM(D51:D52)</f>
        <v>1</v>
      </c>
      <c r="E50" s="39">
        <f>SUM(E51:E52)</f>
        <v>1</v>
      </c>
      <c r="F50" s="39">
        <f>SUM(F51:F52)</f>
        <v>1</v>
      </c>
      <c r="G50" s="39">
        <f>SUM(G51:G52)</f>
        <v>1</v>
      </c>
    </row>
    <row r="51" spans="1:7" ht="72">
      <c r="A51" s="3"/>
      <c r="B51" s="23" t="s">
        <v>80</v>
      </c>
      <c r="C51" s="39">
        <f>'Прил 2'!I50/'Прил 2'!I49</f>
        <v>1</v>
      </c>
      <c r="D51" s="39">
        <f>'Прил 2'!J50/'Прил 2'!J49</f>
        <v>1</v>
      </c>
      <c r="E51" s="39">
        <f>'Прил 2'!K50/'Прил 2'!K49</f>
        <v>1</v>
      </c>
      <c r="F51" s="39">
        <f>'Прил 2'!L50/'Прил 2'!L49</f>
        <v>1</v>
      </c>
      <c r="G51" s="39">
        <f>'Прил 2'!M50/'Прил 2'!M49</f>
        <v>1</v>
      </c>
    </row>
    <row r="52" spans="1:7" ht="24">
      <c r="A52" s="3"/>
      <c r="B52" s="23" t="s">
        <v>35</v>
      </c>
      <c r="C52" s="39">
        <f>'Прил 2'!I51/'Прил 2'!I49</f>
        <v>0</v>
      </c>
      <c r="D52" s="39">
        <f>'Прил 2'!J51/'Прил 2'!J49</f>
        <v>0</v>
      </c>
      <c r="E52" s="39">
        <f>'Прил 2'!K51/'Прил 2'!K49</f>
        <v>0</v>
      </c>
      <c r="F52" s="39">
        <f>'Прил 2'!L51/'Прил 2'!L49</f>
        <v>0</v>
      </c>
      <c r="G52" s="39">
        <f>'Прил 2'!M51/'Прил 2'!M49</f>
        <v>0</v>
      </c>
    </row>
  </sheetData>
  <sheetProtection/>
  <mergeCells count="7">
    <mergeCell ref="C5:G5"/>
    <mergeCell ref="E3:F3"/>
    <mergeCell ref="A7:G7"/>
    <mergeCell ref="A9:A10"/>
    <mergeCell ref="B9:B10"/>
    <mergeCell ref="C9:G9"/>
    <mergeCell ref="C4:G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2018-02-22T04:27:38Z</dcterms:modified>
  <cp:category/>
  <cp:version/>
  <cp:contentType/>
  <cp:contentStatus/>
</cp:coreProperties>
</file>